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hit\Documents\Owner Only Benefits\WOTC\"/>
    </mc:Choice>
  </mc:AlternateContent>
  <xr:revisionPtr revIDLastSave="0" documentId="8_{947A1939-76FF-48C7-A6CB-706FCEF61AA5}" xr6:coauthVersionLast="47" xr6:coauthVersionMax="47" xr10:uidLastSave="{00000000-0000-0000-0000-000000000000}"/>
  <bookViews>
    <workbookView xWindow="-120" yWindow="-120" windowWidth="20730" windowHeight="11160" xr2:uid="{78D209DB-5C2F-4D5C-A07D-DE6CC904AA8B}"/>
  </bookViews>
  <sheets>
    <sheet name="Instructions" sheetId="4" r:id="rId1"/>
    <sheet name="Legal" sheetId="7" r:id="rId2"/>
    <sheet name="WOTC Inputs" sheetId="2" r:id="rId3"/>
    <sheet name="WOTC Analysis" sheetId="1" r:id="rId4"/>
    <sheet name="Sprockets Analysis" sheetId="6" r:id="rId5"/>
    <sheet name="TeleMed Benefit" sheetId="3" r:id="rId6"/>
    <sheet name="EAP Limited Med Benefit" sheetId="5" r:id="rId7"/>
    <sheet name="Calc Page" sheetId="8" state="hidden" r:id="rId8"/>
  </sheets>
  <definedNames>
    <definedName name="adpapprovalrate">#REF!</definedName>
    <definedName name="adpwotccost">#REF!</definedName>
    <definedName name="avgapproval">#REF!</definedName>
    <definedName name="avghiresduringeetenure">'Sprockets Analysis'!$C$12</definedName>
    <definedName name="avghrwage">'TeleMed Benefit'!$C$13</definedName>
    <definedName name="avgneweewotcbenefit">#REF!</definedName>
    <definedName name="avgnewhireduration">'WOTC Inputs'!$B$13</definedName>
    <definedName name="avgnewhireshifthours">'WOTC Inputs'!$B$12</definedName>
    <definedName name="Avgnewhiretotalworkhours">'WOTC Inputs'!$B$14</definedName>
    <definedName name="avgwageperhr">'WOTC Inputs'!$B$11</definedName>
    <definedName name="avgwkhrs">#REF!</definedName>
    <definedName name="avgwkhrsx">#REF!</definedName>
    <definedName name="avgWOTCparticipantbenefit">'WOTC Inputs'!$B$30</definedName>
    <definedName name="avgwotcpernewhire">'WOTC Analysis'!$E$34</definedName>
    <definedName name="Expectedwotcpernewhire">'WOTC Inputs'!$B$25</definedName>
    <definedName name="monthlynewhires">#REF!</definedName>
    <definedName name="monthlynewhiresx">#REF!</definedName>
    <definedName name="newhirespermonth">'WOTC Inputs'!$B$8</definedName>
    <definedName name="Newhiresubmit">#REF!</definedName>
    <definedName name="newhiresubmittedforWOTC">'WOTC Inputs'!$B$9</definedName>
    <definedName name="OOBapprovalrate">#REF!</definedName>
    <definedName name="OOBsubmitted">#REF!</definedName>
    <definedName name="PrimaryCareExpense">'EAP Limited Med Benefit'!$C$19:$N$21</definedName>
    <definedName name="primarycareexpense1">'EAP Limited Med Benefit'!$C$18:$N$21</definedName>
    <definedName name="sprocketsavgred">'Sprockets Analysis'!$C$13</definedName>
    <definedName name="sprocketscost">'Sprockets Analysis'!$C$23:$N$25</definedName>
    <definedName name="telemedexp">'TeleMed Benefit'!$C$17:$N$20</definedName>
    <definedName name="wagecredit120hr">'WOTC Inputs'!$B$18</definedName>
    <definedName name="wagecredit400hr">'WOTC Inputs'!$B$19</definedName>
    <definedName name="Wotcapprovalavg">'TeleMed Benefit'!$C$12</definedName>
    <definedName name="wotcapprovalrate">'WOTC Inputs'!$B$10</definedName>
    <definedName name="WOTCapprovalsubmit">'WOTC Analysis'!$B$4</definedName>
    <definedName name="wotcnewhiresubmitpercent">'WOTC Inputs'!#REF!</definedName>
    <definedName name="WOTCsubmit">'TeleMed Benefit'!$C$11</definedName>
    <definedName name="wotcsubmitpercent">'TeleMed Benefit'!#REF!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6" l="1"/>
  <c r="B42" i="1"/>
  <c r="C9" i="5"/>
  <c r="C8" i="5"/>
  <c r="C13" i="3"/>
  <c r="C11" i="6"/>
  <c r="D46" i="6" s="1"/>
  <c r="A10" i="6"/>
  <c r="C20" i="6"/>
  <c r="C16" i="6"/>
  <c r="C8" i="3"/>
  <c r="C7" i="3"/>
  <c r="C19" i="2"/>
  <c r="C18" i="2"/>
  <c r="N24" i="6"/>
  <c r="M24" i="6"/>
  <c r="L24" i="6"/>
  <c r="K24" i="6"/>
  <c r="J24" i="6"/>
  <c r="I24" i="6"/>
  <c r="H24" i="6"/>
  <c r="G24" i="6"/>
  <c r="F24" i="6"/>
  <c r="E24" i="6"/>
  <c r="D24" i="6"/>
  <c r="C24" i="6"/>
  <c r="J48" i="6"/>
  <c r="A48" i="6"/>
  <c r="A49" i="6" s="1"/>
  <c r="A50" i="6" s="1"/>
  <c r="A51" i="6" s="1"/>
  <c r="D23" i="6"/>
  <c r="C19" i="6"/>
  <c r="C18" i="6"/>
  <c r="C20" i="5"/>
  <c r="C21" i="5" s="1"/>
  <c r="E18" i="5"/>
  <c r="D20" i="5" s="1"/>
  <c r="D18" i="5"/>
  <c r="C19" i="5" s="1"/>
  <c r="C13" i="5"/>
  <c r="C12" i="5"/>
  <c r="C10" i="5"/>
  <c r="C12" i="3"/>
  <c r="C11" i="3"/>
  <c r="B5" i="1"/>
  <c r="B4" i="1"/>
  <c r="E48" i="6" l="1"/>
  <c r="E52" i="6"/>
  <c r="C17" i="6"/>
  <c r="E46" i="6"/>
  <c r="E50" i="6"/>
  <c r="D55" i="6"/>
  <c r="D56" i="6" s="1"/>
  <c r="E47" i="6"/>
  <c r="E49" i="6"/>
  <c r="E51" i="6"/>
  <c r="C12" i="6"/>
  <c r="C25" i="6"/>
  <c r="J49" i="6"/>
  <c r="J50" i="6" s="1"/>
  <c r="E23" i="6"/>
  <c r="D21" i="5"/>
  <c r="F18" i="5"/>
  <c r="D19" i="5"/>
  <c r="B3" i="1"/>
  <c r="C14" i="6" l="1"/>
  <c r="C15" i="6" s="1"/>
  <c r="D51" i="6"/>
  <c r="D49" i="6"/>
  <c r="D47" i="6"/>
  <c r="D52" i="6"/>
  <c r="D50" i="6"/>
  <c r="D48" i="6"/>
  <c r="D25" i="6"/>
  <c r="F23" i="6"/>
  <c r="E20" i="5"/>
  <c r="E21" i="5" s="1"/>
  <c r="E19" i="5"/>
  <c r="G18" i="5"/>
  <c r="B6" i="1"/>
  <c r="B7" i="1"/>
  <c r="B21" i="1" s="1"/>
  <c r="B8" i="1"/>
  <c r="B41" i="1" s="1"/>
  <c r="C33" i="1"/>
  <c r="D33" i="1" s="1"/>
  <c r="D31" i="6" l="1"/>
  <c r="M46" i="6" s="1"/>
  <c r="M31" i="6"/>
  <c r="E25" i="6"/>
  <c r="G23" i="6"/>
  <c r="E33" i="1"/>
  <c r="D34" i="1"/>
  <c r="F20" i="5"/>
  <c r="F21" i="5" s="1"/>
  <c r="F19" i="5"/>
  <c r="H18" i="5"/>
  <c r="D34" i="5" s="1"/>
  <c r="B9" i="1"/>
  <c r="B31" i="1"/>
  <c r="C44" i="1"/>
  <c r="C15" i="1"/>
  <c r="C18" i="1" s="1"/>
  <c r="C26" i="1" s="1"/>
  <c r="M48" i="6" l="1"/>
  <c r="M47" i="6"/>
  <c r="M49" i="6"/>
  <c r="M50" i="6"/>
  <c r="D27" i="5"/>
  <c r="F25" i="6"/>
  <c r="H23" i="6"/>
  <c r="F33" i="1"/>
  <c r="E34" i="1"/>
  <c r="D26" i="5"/>
  <c r="D28" i="5" s="1"/>
  <c r="G20" i="5"/>
  <c r="G21" i="5" s="1"/>
  <c r="G19" i="5"/>
  <c r="I18" i="5"/>
  <c r="D44" i="1"/>
  <c r="D45" i="1" s="1"/>
  <c r="D46" i="1" s="1"/>
  <c r="C45" i="1"/>
  <c r="C46" i="1" s="1"/>
  <c r="E44" i="1"/>
  <c r="D15" i="1"/>
  <c r="D16" i="1" s="1"/>
  <c r="D24" i="1" s="1"/>
  <c r="C23" i="1"/>
  <c r="C16" i="1"/>
  <c r="C24" i="1" s="1"/>
  <c r="C17" i="1"/>
  <c r="C25" i="1" s="1"/>
  <c r="M32" i="6" l="1"/>
  <c r="D32" i="6"/>
  <c r="G25" i="6"/>
  <c r="I23" i="6"/>
  <c r="G33" i="1"/>
  <c r="F34" i="1"/>
  <c r="H20" i="5"/>
  <c r="H21" i="5" s="1"/>
  <c r="H19" i="5"/>
  <c r="J18" i="5"/>
  <c r="F44" i="1"/>
  <c r="E45" i="1"/>
  <c r="D23" i="1"/>
  <c r="E46" i="1"/>
  <c r="D17" i="1"/>
  <c r="D25" i="1" s="1"/>
  <c r="D18" i="1"/>
  <c r="D26" i="1" s="1"/>
  <c r="E15" i="1"/>
  <c r="E18" i="1" s="1"/>
  <c r="E26" i="1" s="1"/>
  <c r="D19" i="2"/>
  <c r="D17" i="3"/>
  <c r="D18" i="2"/>
  <c r="C23" i="2"/>
  <c r="D23" i="2" s="1"/>
  <c r="C22" i="2"/>
  <c r="D22" i="2" s="1"/>
  <c r="F46" i="6" l="1"/>
  <c r="N46" i="6"/>
  <c r="H25" i="6"/>
  <c r="J23" i="6"/>
  <c r="H33" i="1"/>
  <c r="G34" i="1"/>
  <c r="I20" i="5"/>
  <c r="I21" i="5" s="1"/>
  <c r="I19" i="5"/>
  <c r="K18" i="5"/>
  <c r="G44" i="1"/>
  <c r="F45" i="1"/>
  <c r="F46" i="1" s="1"/>
  <c r="E23" i="1"/>
  <c r="E17" i="1"/>
  <c r="E25" i="1" s="1"/>
  <c r="E17" i="3"/>
  <c r="C18" i="3"/>
  <c r="C19" i="3"/>
  <c r="F15" i="1"/>
  <c r="G15" i="1" s="1"/>
  <c r="E16" i="1"/>
  <c r="E24" i="1" s="1"/>
  <c r="F23" i="1"/>
  <c r="N50" i="6" l="1"/>
  <c r="N49" i="6"/>
  <c r="N48" i="6"/>
  <c r="N47" i="6"/>
  <c r="F52" i="6"/>
  <c r="F50" i="6"/>
  <c r="F48" i="6"/>
  <c r="F51" i="6"/>
  <c r="F49" i="6"/>
  <c r="F47" i="6"/>
  <c r="I25" i="6"/>
  <c r="K23" i="6"/>
  <c r="I33" i="1"/>
  <c r="H34" i="1"/>
  <c r="J20" i="5"/>
  <c r="J21" i="5" s="1"/>
  <c r="J19" i="5"/>
  <c r="L18" i="5"/>
  <c r="H44" i="1"/>
  <c r="G45" i="1"/>
  <c r="G46" i="1" s="1"/>
  <c r="F16" i="1"/>
  <c r="F24" i="1" s="1"/>
  <c r="F18" i="1"/>
  <c r="F26" i="1" s="1"/>
  <c r="F17" i="1"/>
  <c r="F25" i="1" s="1"/>
  <c r="F17" i="3"/>
  <c r="D19" i="3"/>
  <c r="D18" i="3"/>
  <c r="G18" i="1"/>
  <c r="G26" i="1" s="1"/>
  <c r="G17" i="1"/>
  <c r="G25" i="1" s="1"/>
  <c r="G16" i="1"/>
  <c r="G24" i="1" s="1"/>
  <c r="G23" i="1"/>
  <c r="H15" i="1"/>
  <c r="C20" i="3"/>
  <c r="J25" i="6" l="1"/>
  <c r="L23" i="6"/>
  <c r="J33" i="1"/>
  <c r="I34" i="1"/>
  <c r="K20" i="5"/>
  <c r="K21" i="5" s="1"/>
  <c r="K19" i="5"/>
  <c r="M18" i="5"/>
  <c r="I44" i="1"/>
  <c r="H45" i="1"/>
  <c r="H46" i="1" s="1"/>
  <c r="D20" i="3"/>
  <c r="G17" i="3"/>
  <c r="E18" i="3"/>
  <c r="E19" i="3"/>
  <c r="H23" i="1"/>
  <c r="I15" i="1"/>
  <c r="H18" i="1"/>
  <c r="H26" i="1" s="1"/>
  <c r="H17" i="1"/>
  <c r="H25" i="1" s="1"/>
  <c r="H16" i="1"/>
  <c r="H24" i="1" s="1"/>
  <c r="B14" i="2"/>
  <c r="B25" i="2" l="1"/>
  <c r="D6" i="8"/>
  <c r="D30" i="6"/>
  <c r="D33" i="6" s="1"/>
  <c r="C46" i="6"/>
  <c r="K25" i="6"/>
  <c r="M23" i="6"/>
  <c r="K33" i="1"/>
  <c r="J34" i="1"/>
  <c r="L20" i="5"/>
  <c r="L21" i="5" s="1"/>
  <c r="N19" i="5"/>
  <c r="L19" i="5"/>
  <c r="N18" i="5"/>
  <c r="J44" i="1"/>
  <c r="I45" i="1"/>
  <c r="I46" i="1" s="1"/>
  <c r="C9" i="3"/>
  <c r="D25" i="3" s="1"/>
  <c r="E20" i="3"/>
  <c r="H17" i="3"/>
  <c r="F19" i="3"/>
  <c r="F18" i="3"/>
  <c r="C34" i="1"/>
  <c r="I18" i="1"/>
  <c r="I26" i="1" s="1"/>
  <c r="I17" i="1"/>
  <c r="I25" i="1" s="1"/>
  <c r="I16" i="1"/>
  <c r="I24" i="1" s="1"/>
  <c r="I23" i="1"/>
  <c r="J15" i="1"/>
  <c r="B30" i="2" l="1"/>
  <c r="G46" i="6"/>
  <c r="H46" i="6" s="1"/>
  <c r="C47" i="6"/>
  <c r="G47" i="6" s="1"/>
  <c r="H47" i="6" s="1"/>
  <c r="C50" i="6"/>
  <c r="G50" i="6" s="1"/>
  <c r="H50" i="6" s="1"/>
  <c r="C48" i="6"/>
  <c r="G48" i="6" s="1"/>
  <c r="H48" i="6" s="1"/>
  <c r="C51" i="6"/>
  <c r="G51" i="6" s="1"/>
  <c r="H51" i="6" s="1"/>
  <c r="C49" i="6"/>
  <c r="G49" i="6" s="1"/>
  <c r="H49" i="6" s="1"/>
  <c r="C52" i="6"/>
  <c r="G52" i="6" s="1"/>
  <c r="H52" i="6" s="1"/>
  <c r="L25" i="6"/>
  <c r="N23" i="6"/>
  <c r="L33" i="1"/>
  <c r="K34" i="1"/>
  <c r="K35" i="1" s="1"/>
  <c r="N20" i="5"/>
  <c r="M20" i="5"/>
  <c r="M21" i="5" s="1"/>
  <c r="M19" i="5"/>
  <c r="K44" i="1"/>
  <c r="J45" i="1"/>
  <c r="J46" i="1" s="1"/>
  <c r="B26" i="2"/>
  <c r="B27" i="2" s="1"/>
  <c r="F20" i="3"/>
  <c r="I17" i="3"/>
  <c r="G18" i="3"/>
  <c r="G19" i="3"/>
  <c r="G47" i="1"/>
  <c r="H47" i="1"/>
  <c r="I47" i="1"/>
  <c r="F47" i="1"/>
  <c r="D47" i="1"/>
  <c r="E47" i="1"/>
  <c r="J35" i="1"/>
  <c r="H35" i="1"/>
  <c r="F35" i="1"/>
  <c r="D35" i="1"/>
  <c r="I35" i="1"/>
  <c r="G35" i="1"/>
  <c r="E35" i="1"/>
  <c r="J23" i="1"/>
  <c r="K15" i="1"/>
  <c r="J18" i="1"/>
  <c r="J26" i="1" s="1"/>
  <c r="J17" i="1"/>
  <c r="J25" i="1" s="1"/>
  <c r="J16" i="1"/>
  <c r="J24" i="1" s="1"/>
  <c r="D33" i="5" l="1"/>
  <c r="D35" i="5" s="1"/>
  <c r="M30" i="6"/>
  <c r="M33" i="6" s="1"/>
  <c r="D32" i="3"/>
  <c r="M25" i="6"/>
  <c r="M33" i="1"/>
  <c r="L34" i="1"/>
  <c r="L35" i="1" s="1"/>
  <c r="J47" i="1"/>
  <c r="N21" i="5"/>
  <c r="L44" i="1"/>
  <c r="K45" i="1"/>
  <c r="G20" i="3"/>
  <c r="J17" i="3"/>
  <c r="H19" i="3"/>
  <c r="H20" i="3" s="1"/>
  <c r="D26" i="3" s="1"/>
  <c r="D27" i="3" s="1"/>
  <c r="H18" i="3"/>
  <c r="K18" i="1"/>
  <c r="K26" i="1" s="1"/>
  <c r="K17" i="1"/>
  <c r="K25" i="1" s="1"/>
  <c r="K16" i="1"/>
  <c r="K24" i="1" s="1"/>
  <c r="K23" i="1"/>
  <c r="L15" i="1"/>
  <c r="L46" i="6" l="1"/>
  <c r="N25" i="6"/>
  <c r="N33" i="1"/>
  <c r="N34" i="1" s="1"/>
  <c r="N35" i="1" s="1"/>
  <c r="M34" i="1"/>
  <c r="M35" i="1" s="1"/>
  <c r="M44" i="1"/>
  <c r="L45" i="1"/>
  <c r="K46" i="1"/>
  <c r="K47" i="1"/>
  <c r="D33" i="3"/>
  <c r="D34" i="3" s="1"/>
  <c r="K17" i="3"/>
  <c r="I18" i="3"/>
  <c r="I19" i="3"/>
  <c r="I20" i="3" s="1"/>
  <c r="L23" i="1"/>
  <c r="M15" i="1"/>
  <c r="L18" i="1"/>
  <c r="L26" i="1" s="1"/>
  <c r="L17" i="1"/>
  <c r="L25" i="1" s="1"/>
  <c r="L16" i="1"/>
  <c r="L24" i="1" s="1"/>
  <c r="L47" i="6" l="1"/>
  <c r="O47" i="6" s="1"/>
  <c r="P47" i="6" s="1"/>
  <c r="L49" i="6"/>
  <c r="O49" i="6" s="1"/>
  <c r="P49" i="6" s="1"/>
  <c r="L48" i="6"/>
  <c r="O48" i="6" s="1"/>
  <c r="P48" i="6" s="1"/>
  <c r="L50" i="6"/>
  <c r="O50" i="6" s="1"/>
  <c r="P50" i="6" s="1"/>
  <c r="O46" i="6"/>
  <c r="P46" i="6" s="1"/>
  <c r="L46" i="1"/>
  <c r="L47" i="1"/>
  <c r="N44" i="1"/>
  <c r="M45" i="1"/>
  <c r="L17" i="3"/>
  <c r="J19" i="3"/>
  <c r="J20" i="3" s="1"/>
  <c r="J18" i="3"/>
  <c r="M18" i="1"/>
  <c r="M26" i="1" s="1"/>
  <c r="M17" i="1"/>
  <c r="M25" i="1" s="1"/>
  <c r="M16" i="1"/>
  <c r="M24" i="1" s="1"/>
  <c r="M23" i="1"/>
  <c r="N15" i="1"/>
  <c r="N45" i="1" l="1"/>
  <c r="N47" i="1" s="1"/>
  <c r="M46" i="1"/>
  <c r="M47" i="1"/>
  <c r="M17" i="3"/>
  <c r="K18" i="3"/>
  <c r="K19" i="3"/>
  <c r="K20" i="3" s="1"/>
  <c r="N23" i="1"/>
  <c r="N18" i="1"/>
  <c r="N26" i="1" s="1"/>
  <c r="N17" i="1"/>
  <c r="N25" i="1" s="1"/>
  <c r="N16" i="1"/>
  <c r="N24" i="1" s="1"/>
  <c r="N46" i="1" l="1"/>
  <c r="N17" i="3"/>
  <c r="L19" i="3"/>
  <c r="L20" i="3" s="1"/>
  <c r="N18" i="3"/>
  <c r="L18" i="3"/>
  <c r="N19" i="3" l="1"/>
  <c r="M18" i="3"/>
  <c r="M19" i="3"/>
  <c r="M20" i="3" s="1"/>
  <c r="N20" i="3" s="1"/>
</calcChain>
</file>

<file path=xl/sharedStrings.xml><?xml version="1.0" encoding="utf-8"?>
<sst xmlns="http://schemas.openxmlformats.org/spreadsheetml/2006/main" count="266" uniqueCount="144">
  <si>
    <t>per hour</t>
  </si>
  <si>
    <t>Per Hour</t>
  </si>
  <si>
    <t>Per Day</t>
  </si>
  <si>
    <t>How Many Days to Maximize WOTC:</t>
  </si>
  <si>
    <t>Regular</t>
  </si>
  <si>
    <t>Summer</t>
  </si>
  <si>
    <t>Hourly Wage</t>
  </si>
  <si>
    <t>How Many Hours to Maximize WOTC:</t>
  </si>
  <si>
    <t>Avg Shift</t>
  </si>
  <si>
    <t>hours</t>
  </si>
  <si>
    <t>Disabled Vet</t>
  </si>
  <si>
    <t>days worked</t>
  </si>
  <si>
    <t>Wage Credit</t>
  </si>
  <si>
    <t>WOTC Hours</t>
  </si>
  <si>
    <t>Telemedicine Benefit</t>
  </si>
  <si>
    <t>New Hire</t>
  </si>
  <si>
    <t>EE  Pays</t>
  </si>
  <si>
    <t>ER Pays</t>
  </si>
  <si>
    <t>Net:</t>
  </si>
  <si>
    <t>days</t>
  </si>
  <si>
    <t>average work duration (days)</t>
  </si>
  <si>
    <t>Avg Work Duration</t>
  </si>
  <si>
    <t>1st WOTC hr Threshold</t>
  </si>
  <si>
    <t>2nd WOTC hr Threshold</t>
  </si>
  <si>
    <t>Avg Work Hours</t>
  </si>
  <si>
    <t>AVC WOTC Tax Credit</t>
  </si>
  <si>
    <t>Avg Salary</t>
  </si>
  <si>
    <t>Avg Hours</t>
  </si>
  <si>
    <t>Employee Pays</t>
  </si>
  <si>
    <t>New Hires</t>
  </si>
  <si>
    <t>per month</t>
  </si>
  <si>
    <t>Month</t>
  </si>
  <si>
    <t>Avg WOTC per New Hire</t>
  </si>
  <si>
    <t>Employer Telemed Costs per Employee</t>
  </si>
  <si>
    <t>Total Expected WOTC Benefit:</t>
  </si>
  <si>
    <t>annually</t>
  </si>
  <si>
    <t>Expected WOTC per New Hire:</t>
  </si>
  <si>
    <t>Variable:</t>
  </si>
  <si>
    <t>Avg # of Days Worked</t>
  </si>
  <si>
    <t>Max WOTC</t>
  </si>
  <si>
    <t>WOTC Change vs New Hire Avg. Days Worked</t>
  </si>
  <si>
    <t>WOTC Input Page</t>
  </si>
  <si>
    <t>Avg Wage</t>
  </si>
  <si>
    <t>WOTC New Hire Approval Rate</t>
  </si>
  <si>
    <t>Avg Days Worked per New Hire</t>
  </si>
  <si>
    <t>Avg Work Period:</t>
  </si>
  <si>
    <t>Benefits Begin</t>
  </si>
  <si>
    <t>TeleMed Cost:</t>
  </si>
  <si>
    <t>WOTC Benefit:</t>
  </si>
  <si>
    <t>total worked</t>
  </si>
  <si>
    <t>Avg WOTC Benefit per New Hire</t>
  </si>
  <si>
    <t>per Eligible New Hire</t>
  </si>
  <si>
    <t>Net Benefit (with Avg New Hire)</t>
  </si>
  <si>
    <t>(inputs - yellow || gray - calculations)</t>
  </si>
  <si>
    <t>Base Assumptions</t>
  </si>
  <si>
    <t xml:space="preserve">cost per month </t>
  </si>
  <si>
    <t>Cost / Benefit Analysis per Each New Employee</t>
  </si>
  <si>
    <t>Total Cost</t>
  </si>
  <si>
    <t xml:space="preserve">per month for TeleMed Benefit </t>
  </si>
  <si>
    <t>per participating new hire</t>
  </si>
  <si>
    <t>Reach WOTC Threshold</t>
  </si>
  <si>
    <t>WOTC</t>
  </si>
  <si>
    <t>Benefit</t>
  </si>
  <si>
    <t>Hourly Level</t>
  </si>
  <si>
    <t>INSTRUCTIONS</t>
  </si>
  <si>
    <t>------- &gt;</t>
  </si>
  <si>
    <t>Yellow Boxes are Input Boxes</t>
  </si>
  <si>
    <t>Gray Boxes are Calculation Boxes</t>
  </si>
  <si>
    <t>These Boxes Cannot Be Changed</t>
  </si>
  <si>
    <t>Beginning Month # after Hire (ie … choose month 4 if a 90 day (3 mo) waiting period required)</t>
  </si>
  <si>
    <t>% WOTC Benefit Increase (decrease)</t>
  </si>
  <si>
    <t>% WOTC Increase (decrease)</t>
  </si>
  <si>
    <t>New Hires per Month</t>
  </si>
  <si>
    <t>Expected WOTC (annual)</t>
  </si>
  <si>
    <t>Avg. New Hires</t>
  </si>
  <si>
    <t>% New Hires</t>
  </si>
  <si>
    <t>Net Benefit (per WOTC Eligible &amp; Accepted New Hire)</t>
  </si>
  <si>
    <t>WOTC Eligible</t>
  </si>
  <si>
    <t>% WOTC Eligible</t>
  </si>
  <si>
    <t xml:space="preserve">Submitted &amp; Approved </t>
  </si>
  <si>
    <t>Employer Primary Care Costs per Employee</t>
  </si>
  <si>
    <t>Sprockets</t>
  </si>
  <si>
    <t>Sprockets Cost</t>
  </si>
  <si>
    <t>cost per month per location</t>
  </si>
  <si>
    <t>Cost to Replace</t>
  </si>
  <si>
    <t>Average Worker</t>
  </si>
  <si>
    <t>For Duration of Average Employee</t>
  </si>
  <si>
    <t>Savings From Extending Avg. Duration</t>
  </si>
  <si>
    <t>*Sprockets Cost:</t>
  </si>
  <si>
    <t>Employer Net Benefit Chart (with # of Avg New Hire)</t>
  </si>
  <si>
    <t xml:space="preserve">WOTC </t>
  </si>
  <si>
    <t>Savings</t>
  </si>
  <si>
    <t xml:space="preserve">EE Turnover  </t>
  </si>
  <si>
    <t>Cost</t>
  </si>
  <si>
    <t>Net Employer</t>
  </si>
  <si>
    <t>Employer Net Benefit Chart (per WOTC Eligible &amp; Accepted New Hires)</t>
  </si>
  <si>
    <t>Note:</t>
  </si>
  <si>
    <t>This workbook and associated calculations are presented as a courtesy by Owner Only Benefits.</t>
  </si>
  <si>
    <t>Owner Only Benefits assumes no liability, either implied or express, from the use, interpretation, or</t>
  </si>
  <si>
    <t>use of this workbook.</t>
  </si>
  <si>
    <t>functionality of this workbook or any calculation found within.  User assumes all associated risk from</t>
  </si>
  <si>
    <t>HOW TO USE THE WOTC  Analysis Tool</t>
  </si>
  <si>
    <t>Cost / Benefit Analysis per New Hire</t>
  </si>
  <si>
    <t>WOTC Calculation</t>
  </si>
  <si>
    <t>WOTC Calculations</t>
  </si>
  <si>
    <t>from WOTC Inputs Page</t>
  </si>
  <si>
    <t>Work Shift:</t>
  </si>
  <si>
    <t>(inputs - yellow || gray - calculations / WOTC Inputs page)</t>
  </si>
  <si>
    <t>Represents the FULL Cost (Employer NET Benefit Increases with Each New Hire)</t>
  </si>
  <si>
    <t>% Decrease (avg)</t>
  </si>
  <si>
    <t>Employee Turnover (per Sprockets)</t>
  </si>
  <si>
    <t># New Hires</t>
  </si>
  <si>
    <t>During Average Employees Tenure</t>
  </si>
  <si>
    <t>After Integrating Sprockets</t>
  </si>
  <si>
    <t># New Hire Savings</t>
  </si>
  <si>
    <t>Employee Turnover Reduction Savings:</t>
  </si>
  <si>
    <t>**Assumptions:</t>
  </si>
  <si>
    <t>Avg. Worker and/or WOTC Eligible and Accepted Employee work the same # of days)</t>
  </si>
  <si>
    <t>per month (before incorporating Sprockets)</t>
  </si>
  <si>
    <t>During Average Employees Tenure (rounded up)</t>
  </si>
  <si>
    <t xml:space="preserve">New Hire  </t>
  </si>
  <si>
    <t>*New Hire Reduction:</t>
  </si>
  <si>
    <t>Page Inputs Flow Through from the WOTC Inputs Page and on Individual Pages</t>
  </si>
  <si>
    <t># Reduction in New Hires</t>
  </si>
  <si>
    <t>Net Savings (expense):</t>
  </si>
  <si>
    <t>per month for Limited Medical Plan</t>
  </si>
  <si>
    <t>*EAP:</t>
  </si>
  <si>
    <t>100% Employer Paid</t>
  </si>
  <si>
    <t>Employee Assistance Program (EAP) / Limited Medical Plan</t>
  </si>
  <si>
    <t>EAP / Lim. Med. Plan</t>
  </si>
  <si>
    <t>Benefit*</t>
  </si>
  <si>
    <t>*Net Employer Benefit:</t>
  </si>
  <si>
    <t>Calculated for:</t>
  </si>
  <si>
    <t>For Time Period of:</t>
  </si>
  <si>
    <t>Annualized</t>
  </si>
  <si>
    <t>Inputs from the WOTC Inputs Page flow through to all other sheets</t>
  </si>
  <si>
    <t>Reduction*</t>
  </si>
  <si>
    <t>Avg. WOTC*</t>
  </si>
  <si>
    <t>For Calculations, WOTC Benefits Cap at $2,400 per participant (max regular WOTC participating employee)</t>
  </si>
  <si>
    <t>*NOTE:</t>
  </si>
  <si>
    <t>Avg. WOTC participation $ Benefits could be higher/lower</t>
  </si>
  <si>
    <t>TeleMed Benefit</t>
  </si>
  <si>
    <t>% WOTC Eligible New Hires</t>
  </si>
  <si>
    <t>EAP / Lim. Med. Plan: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</si>
</sst>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9">
    <xf numFmtId="0" fontId="0" fillId="0" borderId="0" xfId="0"/>
    <xf numFmtId="44" fontId="0" fillId="0" borderId="0" xfId="2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2" applyFont="1" applyAlignment="1">
      <alignment horizontal="center"/>
    </xf>
    <xf numFmtId="0" fontId="2" fillId="0" borderId="0" xfId="0" applyFont="1"/>
    <xf numFmtId="164" fontId="2" fillId="0" borderId="0" xfId="2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4" fontId="2" fillId="0" borderId="0" xfId="2" applyFont="1"/>
    <xf numFmtId="165" fontId="2" fillId="0" borderId="0" xfId="1" applyNumberFormat="1" applyFont="1"/>
    <xf numFmtId="0" fontId="2" fillId="2" borderId="1" xfId="0" applyFont="1" applyFill="1" applyBorder="1"/>
    <xf numFmtId="44" fontId="2" fillId="0" borderId="0" xfId="2" applyFont="1" applyBorder="1"/>
    <xf numFmtId="44" fontId="2" fillId="0" borderId="6" xfId="2" applyFont="1" applyBorder="1"/>
    <xf numFmtId="164" fontId="2" fillId="0" borderId="0" xfId="2" applyNumberFormat="1" applyFont="1" applyBorder="1"/>
    <xf numFmtId="165" fontId="2" fillId="0" borderId="0" xfId="1" applyNumberFormat="1" applyFont="1" applyBorder="1"/>
    <xf numFmtId="165" fontId="2" fillId="0" borderId="6" xfId="1" applyNumberFormat="1" applyFont="1" applyBorder="1"/>
    <xf numFmtId="164" fontId="2" fillId="0" borderId="8" xfId="2" applyNumberFormat="1" applyFont="1" applyBorder="1"/>
    <xf numFmtId="165" fontId="2" fillId="0" borderId="8" xfId="1" applyNumberFormat="1" applyFont="1" applyBorder="1"/>
    <xf numFmtId="165" fontId="2" fillId="0" borderId="9" xfId="1" applyNumberFormat="1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8" xfId="2" applyFont="1" applyFill="1" applyBorder="1"/>
    <xf numFmtId="44" fontId="2" fillId="2" borderId="0" xfId="2" applyFont="1" applyFill="1" applyBorder="1"/>
    <xf numFmtId="0" fontId="2" fillId="2" borderId="0" xfId="0" applyFont="1" applyFill="1"/>
    <xf numFmtId="0" fontId="2" fillId="2" borderId="8" xfId="0" applyFont="1" applyFill="1" applyBorder="1"/>
    <xf numFmtId="9" fontId="2" fillId="2" borderId="0" xfId="3" applyFont="1" applyFill="1" applyBorder="1" applyAlignment="1">
      <alignment horizontal="center"/>
    </xf>
    <xf numFmtId="0" fontId="0" fillId="0" borderId="8" xfId="0" applyBorder="1"/>
    <xf numFmtId="9" fontId="2" fillId="2" borderId="8" xfId="3" applyFont="1" applyFill="1" applyBorder="1" applyAlignment="1">
      <alignment horizontal="center"/>
    </xf>
    <xf numFmtId="44" fontId="2" fillId="2" borderId="0" xfId="2" applyFont="1" applyFill="1"/>
    <xf numFmtId="0" fontId="2" fillId="2" borderId="2" xfId="0" applyFont="1" applyFill="1" applyBorder="1"/>
    <xf numFmtId="44" fontId="2" fillId="2" borderId="10" xfId="0" applyNumberFormat="1" applyFont="1" applyFill="1" applyBorder="1"/>
    <xf numFmtId="0" fontId="2" fillId="2" borderId="3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0" xfId="0" quotePrefix="1" applyFont="1" applyFill="1" applyAlignment="1">
      <alignment horizontal="center"/>
    </xf>
    <xf numFmtId="0" fontId="2" fillId="2" borderId="8" xfId="0" quotePrefix="1" applyFont="1" applyFill="1" applyBorder="1" applyAlignment="1">
      <alignment horizontal="center"/>
    </xf>
    <xf numFmtId="0" fontId="2" fillId="2" borderId="5" xfId="0" applyFont="1" applyFill="1" applyBorder="1"/>
    <xf numFmtId="44" fontId="2" fillId="2" borderId="6" xfId="2" applyFont="1" applyFill="1" applyBorder="1"/>
    <xf numFmtId="0" fontId="2" fillId="2" borderId="7" xfId="0" applyFont="1" applyFill="1" applyBorder="1"/>
    <xf numFmtId="44" fontId="2" fillId="2" borderId="9" xfId="2" applyFont="1" applyFill="1" applyBorder="1"/>
    <xf numFmtId="164" fontId="2" fillId="2" borderId="0" xfId="2" applyNumberFormat="1" applyFont="1" applyFill="1" applyBorder="1"/>
    <xf numFmtId="164" fontId="2" fillId="2" borderId="8" xfId="2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2" fillId="3" borderId="1" xfId="0" applyFont="1" applyFill="1" applyBorder="1" applyProtection="1">
      <protection locked="0"/>
    </xf>
    <xf numFmtId="9" fontId="2" fillId="3" borderId="1" xfId="3" applyFont="1" applyFill="1" applyBorder="1" applyProtection="1">
      <protection locked="0"/>
    </xf>
    <xf numFmtId="44" fontId="2" fillId="3" borderId="1" xfId="2" applyFont="1" applyFill="1" applyBorder="1" applyProtection="1">
      <protection locked="0"/>
    </xf>
    <xf numFmtId="165" fontId="2" fillId="3" borderId="1" xfId="1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4" fontId="2" fillId="2" borderId="3" xfId="2" applyNumberFormat="1" applyFont="1" applyFill="1" applyBorder="1"/>
    <xf numFmtId="165" fontId="2" fillId="2" borderId="1" xfId="1" applyNumberFormat="1" applyFont="1" applyFill="1" applyBorder="1" applyProtection="1"/>
    <xf numFmtId="164" fontId="2" fillId="2" borderId="11" xfId="2" applyNumberFormat="1" applyFont="1" applyFill="1" applyBorder="1"/>
    <xf numFmtId="0" fontId="0" fillId="2" borderId="12" xfId="0" applyFill="1" applyBorder="1"/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7" fontId="2" fillId="3" borderId="1" xfId="0" applyNumberFormat="1" applyFont="1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0" fillId="0" borderId="0" xfId="0" quotePrefix="1"/>
    <xf numFmtId="0" fontId="0" fillId="2" borderId="13" xfId="0" applyFill="1" applyBorder="1"/>
    <xf numFmtId="0" fontId="6" fillId="0" borderId="0" xfId="0" applyFont="1"/>
    <xf numFmtId="0" fontId="7" fillId="0" borderId="0" xfId="0" applyFont="1"/>
    <xf numFmtId="167" fontId="2" fillId="3" borderId="1" xfId="0" applyNumberFormat="1" applyFont="1" applyFill="1" applyBorder="1" applyAlignment="1" applyProtection="1">
      <alignment horizontal="center"/>
      <protection locked="0"/>
    </xf>
    <xf numFmtId="9" fontId="2" fillId="3" borderId="1" xfId="0" applyNumberFormat="1" applyFont="1" applyFill="1" applyBorder="1" applyProtection="1">
      <protection locked="0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0" borderId="0" xfId="0" quotePrefix="1" applyFont="1"/>
    <xf numFmtId="44" fontId="0" fillId="2" borderId="2" xfId="2" applyFont="1" applyFill="1" applyBorder="1"/>
    <xf numFmtId="44" fontId="0" fillId="2" borderId="3" xfId="2" applyFont="1" applyFill="1" applyBorder="1"/>
    <xf numFmtId="44" fontId="0" fillId="2" borderId="4" xfId="2" applyFont="1" applyFill="1" applyBorder="1"/>
    <xf numFmtId="44" fontId="0" fillId="2" borderId="5" xfId="2" applyFont="1" applyFill="1" applyBorder="1"/>
    <xf numFmtId="44" fontId="0" fillId="2" borderId="0" xfId="2" applyFont="1" applyFill="1" applyBorder="1"/>
    <xf numFmtId="44" fontId="0" fillId="2" borderId="6" xfId="2" applyFont="1" applyFill="1" applyBorder="1"/>
    <xf numFmtId="44" fontId="0" fillId="2" borderId="15" xfId="0" applyNumberFormat="1" applyFill="1" applyBorder="1"/>
    <xf numFmtId="44" fontId="0" fillId="2" borderId="10" xfId="0" applyNumberFormat="1" applyFill="1" applyBorder="1"/>
    <xf numFmtId="44" fontId="0" fillId="2" borderId="16" xfId="0" applyNumberFormat="1" applyFill="1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>
      <alignment horizontal="center"/>
    </xf>
    <xf numFmtId="164" fontId="1" fillId="0" borderId="6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164" fontId="1" fillId="0" borderId="9" xfId="2" applyNumberFormat="1" applyFont="1" applyBorder="1" applyAlignment="1">
      <alignment horizontal="center"/>
    </xf>
    <xf numFmtId="44" fontId="0" fillId="2" borderId="16" xfId="0" applyNumberFormat="1" applyFill="1" applyBorder="1" applyAlignment="1">
      <alignment horizontal="center"/>
    </xf>
    <xf numFmtId="0" fontId="0" fillId="2" borderId="4" xfId="0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0" fillId="0" borderId="5" xfId="0" applyBorder="1"/>
    <xf numFmtId="0" fontId="4" fillId="0" borderId="0" xfId="0" applyFont="1"/>
    <xf numFmtId="0" fontId="8" fillId="0" borderId="0" xfId="4"/>
    <xf numFmtId="44" fontId="0" fillId="0" borderId="0" xfId="0" applyNumberFormat="1"/>
    <xf numFmtId="165" fontId="2" fillId="5" borderId="1" xfId="1" applyNumberFormat="1" applyFont="1" applyFill="1" applyBorder="1" applyProtection="1"/>
    <xf numFmtId="166" fontId="2" fillId="5" borderId="1" xfId="1" applyNumberFormat="1" applyFont="1" applyFill="1" applyBorder="1" applyProtection="1"/>
    <xf numFmtId="9" fontId="2" fillId="5" borderId="1" xfId="0" applyNumberFormat="1" applyFont="1" applyFill="1" applyBorder="1"/>
    <xf numFmtId="9" fontId="2" fillId="5" borderId="1" xfId="3" applyFont="1" applyFill="1" applyBorder="1" applyProtection="1"/>
    <xf numFmtId="44" fontId="2" fillId="5" borderId="1" xfId="2" applyFont="1" applyFill="1" applyBorder="1" applyProtection="1"/>
    <xf numFmtId="164" fontId="2" fillId="5" borderId="1" xfId="2" applyNumberFormat="1" applyFont="1" applyFill="1" applyBorder="1" applyProtection="1"/>
    <xf numFmtId="164" fontId="2" fillId="2" borderId="0" xfId="2" applyNumberFormat="1" applyFont="1" applyFill="1"/>
    <xf numFmtId="164" fontId="2" fillId="2" borderId="10" xfId="0" applyNumberFormat="1" applyFont="1" applyFill="1" applyBorder="1"/>
    <xf numFmtId="165" fontId="0" fillId="0" borderId="0" xfId="0" applyNumberFormat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5" borderId="4" xfId="0" applyFill="1" applyBorder="1"/>
    <xf numFmtId="0" fontId="0" fillId="0" borderId="7" xfId="0" applyBorder="1"/>
    <xf numFmtId="0" fontId="0" fillId="0" borderId="9" xfId="0" applyBorder="1"/>
    <xf numFmtId="43" fontId="2" fillId="5" borderId="1" xfId="1" applyFont="1" applyFill="1" applyBorder="1" applyProtection="1"/>
    <xf numFmtId="0" fontId="9" fillId="0" borderId="0" xfId="0" applyFont="1"/>
    <xf numFmtId="0" fontId="10" fillId="0" borderId="0" xfId="4" applyFont="1"/>
    <xf numFmtId="0" fontId="2" fillId="5" borderId="1" xfId="0" applyFont="1" applyFill="1" applyBorder="1"/>
    <xf numFmtId="167" fontId="2" fillId="5" borderId="1" xfId="0" applyNumberFormat="1" applyFont="1" applyFill="1" applyBorder="1"/>
    <xf numFmtId="44" fontId="2" fillId="2" borderId="0" xfId="2" applyFont="1" applyFill="1" applyBorder="1" applyProtection="1"/>
    <xf numFmtId="164" fontId="2" fillId="0" borderId="0" xfId="2" applyNumberFormat="1" applyFont="1" applyBorder="1" applyProtection="1"/>
    <xf numFmtId="165" fontId="2" fillId="2" borderId="0" xfId="1" applyNumberFormat="1" applyFont="1" applyFill="1" applyBorder="1" applyProtection="1"/>
    <xf numFmtId="164" fontId="2" fillId="0" borderId="8" xfId="2" applyNumberFormat="1" applyFont="1" applyBorder="1" applyProtection="1"/>
    <xf numFmtId="165" fontId="2" fillId="2" borderId="8" xfId="1" applyNumberFormat="1" applyFont="1" applyFill="1" applyBorder="1" applyProtection="1"/>
    <xf numFmtId="44" fontId="2" fillId="0" borderId="0" xfId="2" applyFont="1" applyBorder="1" applyProtection="1"/>
    <xf numFmtId="44" fontId="2" fillId="0" borderId="6" xfId="2" applyFont="1" applyBorder="1" applyProtection="1"/>
    <xf numFmtId="0" fontId="2" fillId="4" borderId="0" xfId="0" applyFont="1" applyFill="1"/>
    <xf numFmtId="0" fontId="2" fillId="4" borderId="6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44" fontId="2" fillId="0" borderId="8" xfId="2" applyFont="1" applyBorder="1" applyProtection="1"/>
    <xf numFmtId="9" fontId="2" fillId="2" borderId="8" xfId="3" applyFont="1" applyFill="1" applyBorder="1" applyAlignment="1" applyProtection="1">
      <alignment horizontal="center"/>
    </xf>
    <xf numFmtId="9" fontId="2" fillId="2" borderId="9" xfId="3" applyFont="1" applyFill="1" applyBorder="1" applyAlignment="1" applyProtection="1">
      <alignment horizontal="center"/>
    </xf>
    <xf numFmtId="9" fontId="2" fillId="2" borderId="0" xfId="3" applyFont="1" applyFill="1" applyBorder="1" applyAlignment="1" applyProtection="1">
      <alignment horizontal="center"/>
    </xf>
    <xf numFmtId="9" fontId="2" fillId="0" borderId="0" xfId="0" applyNumberFormat="1" applyFont="1" applyAlignment="1">
      <alignment horizontal="center"/>
    </xf>
    <xf numFmtId="9" fontId="2" fillId="0" borderId="6" xfId="0" applyNumberFormat="1" applyFont="1" applyBorder="1" applyAlignment="1">
      <alignment horizontal="center"/>
    </xf>
    <xf numFmtId="164" fontId="2" fillId="2" borderId="0" xfId="2" applyNumberFormat="1" applyFont="1" applyFill="1" applyBorder="1" applyProtection="1"/>
    <xf numFmtId="164" fontId="2" fillId="2" borderId="6" xfId="2" applyNumberFormat="1" applyFont="1" applyFill="1" applyBorder="1" applyProtection="1"/>
    <xf numFmtId="43" fontId="0" fillId="0" borderId="0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2" applyNumberFormat="1" applyFont="1" applyBorder="1" applyAlignment="1">
      <alignment horizontal="center"/>
    </xf>
    <xf numFmtId="0" fontId="0" fillId="2" borderId="3" xfId="0" applyFill="1" applyBorder="1"/>
    <xf numFmtId="164" fontId="1" fillId="0" borderId="8" xfId="2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EFAF-E33D-4D47-87E7-8ECF4114F906}">
  <sheetPr>
    <pageSetUpPr fitToPage="1"/>
  </sheetPr>
  <dimension ref="A7:D20"/>
  <sheetViews>
    <sheetView tabSelected="1" topLeftCell="A7" workbookViewId="0">
      <selection activeCell="A12" sqref="A12"/>
    </sheetView>
  </sheetViews>
  <sheetFormatPr defaultRowHeight="15" x14ac:dyDescent="0.25"/>
  <cols>
    <col min="1" max="1" width="10.7109375" customWidth="1"/>
    <col min="2" max="2" width="1.7109375" customWidth="1"/>
  </cols>
  <sheetData>
    <row r="7" spans="1:4" ht="36" x14ac:dyDescent="0.55000000000000004">
      <c r="A7" s="79" t="s">
        <v>64</v>
      </c>
    </row>
    <row r="8" spans="1:4" ht="21" x14ac:dyDescent="0.35">
      <c r="A8" s="78" t="s">
        <v>101</v>
      </c>
    </row>
    <row r="9" spans="1:4" ht="21" x14ac:dyDescent="0.35">
      <c r="A9" s="78"/>
    </row>
    <row r="10" spans="1:4" ht="21" x14ac:dyDescent="0.35">
      <c r="A10" s="78"/>
    </row>
    <row r="11" spans="1:4" ht="15.75" thickBot="1" x14ac:dyDescent="0.3"/>
    <row r="12" spans="1:4" ht="15.75" thickBot="1" x14ac:dyDescent="0.3">
      <c r="A12" s="75"/>
      <c r="B12" s="74"/>
      <c r="C12" s="76" t="s">
        <v>65</v>
      </c>
      <c r="D12" s="5" t="s">
        <v>66</v>
      </c>
    </row>
    <row r="13" spans="1:4" x14ac:dyDescent="0.25">
      <c r="D13" s="5" t="s">
        <v>122</v>
      </c>
    </row>
    <row r="15" spans="1:4" ht="15.75" thickBot="1" x14ac:dyDescent="0.3"/>
    <row r="16" spans="1:4" ht="15.75" thickBot="1" x14ac:dyDescent="0.3">
      <c r="A16" s="77"/>
      <c r="B16" s="70"/>
      <c r="C16" s="76" t="s">
        <v>65</v>
      </c>
      <c r="D16" s="5" t="s">
        <v>67</v>
      </c>
    </row>
    <row r="17" spans="1:4" x14ac:dyDescent="0.25">
      <c r="D17" s="5" t="s">
        <v>68</v>
      </c>
    </row>
    <row r="20" spans="1:4" x14ac:dyDescent="0.25">
      <c r="A20" s="60" t="s">
        <v>96</v>
      </c>
      <c r="B20" s="107"/>
      <c r="C20" s="107" t="s">
        <v>135</v>
      </c>
    </row>
  </sheetData>
  <sheetProtection sheet="1" objects="1" scenarios="1"/>
  <pageMargins left="0.7" right="0.7" top="0.75" bottom="0.75" header="0.3" footer="0.3"/>
  <pageSetup scale="82" orientation="portrait" horizontalDpi="4294967295" verticalDpi="4294967295" r:id="rId1"/>
  <headerFooter>
    <oddHeader>&amp;C&amp;G</oddHeader>
    <oddFooter>&amp;C&amp;"-,Bold"&amp;10www.owneronlybenefits.com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73C62-565B-4456-8D2B-BAE45B9CF13A}">
  <dimension ref="A4:A9"/>
  <sheetViews>
    <sheetView workbookViewId="0">
      <selection activeCell="A6" sqref="A6"/>
    </sheetView>
  </sheetViews>
  <sheetFormatPr defaultRowHeight="15" x14ac:dyDescent="0.25"/>
  <sheetData>
    <row r="4" spans="1:1" x14ac:dyDescent="0.25">
      <c r="A4" s="5" t="s">
        <v>96</v>
      </c>
    </row>
    <row r="6" spans="1:1" x14ac:dyDescent="0.25">
      <c r="A6" s="5" t="s">
        <v>97</v>
      </c>
    </row>
    <row r="7" spans="1:1" x14ac:dyDescent="0.25">
      <c r="A7" s="5" t="s">
        <v>98</v>
      </c>
    </row>
    <row r="8" spans="1:1" x14ac:dyDescent="0.25">
      <c r="A8" s="5" t="s">
        <v>100</v>
      </c>
    </row>
    <row r="9" spans="1:1" x14ac:dyDescent="0.25">
      <c r="A9" s="5" t="s">
        <v>99</v>
      </c>
    </row>
  </sheetData>
  <sheetProtection algorithmName="SHA-512" hashValue="l03zFJhW81DzoVrwI+1T+58n/Uh6/l94mzF8jN6xF/ztBpuCOozt4dpv+4fcyU323JWWzPWXLC0u+ugSsbIZWA==" saltValue="8lNwno5NxfMvHASpP+EFc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1ACB-2B50-473B-A540-24E8AD2BDA6F}">
  <sheetPr>
    <pageSetUpPr fitToPage="1"/>
  </sheetPr>
  <dimension ref="A4:Q51"/>
  <sheetViews>
    <sheetView workbookViewId="0">
      <selection activeCell="B8" sqref="B8"/>
    </sheetView>
  </sheetViews>
  <sheetFormatPr defaultRowHeight="15" x14ac:dyDescent="0.25"/>
  <cols>
    <col min="1" max="1" width="30.7109375" customWidth="1"/>
    <col min="2" max="2" width="12" bestFit="1" customWidth="1"/>
    <col min="3" max="3" width="11" customWidth="1"/>
    <col min="4" max="4" width="13.28515625" customWidth="1"/>
    <col min="5" max="5" width="14.42578125" bestFit="1" customWidth="1"/>
    <col min="9" max="9" width="11.5703125" bestFit="1" customWidth="1"/>
    <col min="10" max="10" width="13.85546875" bestFit="1" customWidth="1"/>
  </cols>
  <sheetData>
    <row r="4" spans="1:12" ht="31.5" x14ac:dyDescent="0.5">
      <c r="A4" s="59" t="s">
        <v>41</v>
      </c>
    </row>
    <row r="5" spans="1:12" x14ac:dyDescent="0.25">
      <c r="A5" s="60" t="s">
        <v>53</v>
      </c>
    </row>
    <row r="7" spans="1:12" ht="15.75" thickBot="1" x14ac:dyDescent="0.3"/>
    <row r="8" spans="1:12" ht="15.75" thickBot="1" x14ac:dyDescent="0.3">
      <c r="A8" s="5" t="s">
        <v>29</v>
      </c>
      <c r="B8" s="62">
        <v>5</v>
      </c>
      <c r="C8" s="5" t="s">
        <v>30</v>
      </c>
    </row>
    <row r="9" spans="1:12" ht="15.75" thickBot="1" x14ac:dyDescent="0.3">
      <c r="A9" s="5" t="s">
        <v>75</v>
      </c>
      <c r="B9" s="81">
        <v>0.05</v>
      </c>
      <c r="C9" s="5" t="s">
        <v>77</v>
      </c>
    </row>
    <row r="10" spans="1:12" ht="15.75" thickBot="1" x14ac:dyDescent="0.3">
      <c r="A10" s="5" t="s">
        <v>142</v>
      </c>
      <c r="B10" s="63">
        <v>0.85</v>
      </c>
      <c r="C10" s="5" t="s">
        <v>79</v>
      </c>
    </row>
    <row r="11" spans="1:12" ht="15.75" thickBot="1" x14ac:dyDescent="0.3">
      <c r="A11" s="5" t="s">
        <v>42</v>
      </c>
      <c r="B11" s="64">
        <v>8.5</v>
      </c>
      <c r="C11" s="5" t="s">
        <v>0</v>
      </c>
      <c r="D11" s="5"/>
    </row>
    <row r="12" spans="1:12" ht="15.75" thickBot="1" x14ac:dyDescent="0.3">
      <c r="A12" s="5" t="s">
        <v>8</v>
      </c>
      <c r="B12" s="73">
        <v>5</v>
      </c>
      <c r="C12" s="5" t="s">
        <v>9</v>
      </c>
    </row>
    <row r="13" spans="1:12" ht="15.75" thickBot="1" x14ac:dyDescent="0.3">
      <c r="A13" s="5" t="s">
        <v>21</v>
      </c>
      <c r="B13" s="62">
        <v>100</v>
      </c>
      <c r="C13" s="5" t="s">
        <v>19</v>
      </c>
    </row>
    <row r="14" spans="1:12" ht="15.75" thickBot="1" x14ac:dyDescent="0.3">
      <c r="A14" s="5" t="s">
        <v>24</v>
      </c>
      <c r="B14" s="17">
        <f>+B13*B12</f>
        <v>500</v>
      </c>
      <c r="C14" s="5" t="s">
        <v>9</v>
      </c>
      <c r="L14" s="1"/>
    </row>
    <row r="15" spans="1:12" ht="15.75" thickBot="1" x14ac:dyDescent="0.3">
      <c r="L15" s="1"/>
    </row>
    <row r="16" spans="1:12" ht="15.75" thickBot="1" x14ac:dyDescent="0.3">
      <c r="C16" s="71" t="s">
        <v>61</v>
      </c>
      <c r="L16" s="1"/>
    </row>
    <row r="17" spans="1:6" x14ac:dyDescent="0.25">
      <c r="A17" s="56" t="s">
        <v>13</v>
      </c>
      <c r="B17" s="39" t="s">
        <v>12</v>
      </c>
      <c r="C17" s="28" t="s">
        <v>62</v>
      </c>
      <c r="D17" s="39" t="s">
        <v>60</v>
      </c>
      <c r="E17" s="39"/>
      <c r="F17" s="43"/>
    </row>
    <row r="18" spans="1:6" x14ac:dyDescent="0.25">
      <c r="A18" s="44">
        <v>120</v>
      </c>
      <c r="B18" s="33">
        <v>0.25</v>
      </c>
      <c r="C18" s="30">
        <f>$B$11*B18</f>
        <v>2.125</v>
      </c>
      <c r="D18" s="48">
        <f>(A18/$B$12)</f>
        <v>24</v>
      </c>
      <c r="E18" s="31" t="s">
        <v>11</v>
      </c>
      <c r="F18" s="45"/>
    </row>
    <row r="19" spans="1:6" ht="15.75" thickBot="1" x14ac:dyDescent="0.3">
      <c r="A19" s="46">
        <v>400</v>
      </c>
      <c r="B19" s="35">
        <v>0.4</v>
      </c>
      <c r="C19" s="29">
        <f>$B$11*B19</f>
        <v>3.4000000000000004</v>
      </c>
      <c r="D19" s="49">
        <f>ROUNDUP((A19/$B$12),0)</f>
        <v>80</v>
      </c>
      <c r="E19" s="32" t="s">
        <v>11</v>
      </c>
      <c r="F19" s="47"/>
    </row>
    <row r="20" spans="1:6" ht="15.75" thickBot="1" x14ac:dyDescent="0.3"/>
    <row r="21" spans="1:6" x14ac:dyDescent="0.25">
      <c r="A21" s="37" t="s">
        <v>25</v>
      </c>
      <c r="B21" s="39" t="s">
        <v>63</v>
      </c>
      <c r="C21" s="57" t="s">
        <v>1</v>
      </c>
      <c r="D21" s="58" t="s">
        <v>2</v>
      </c>
    </row>
    <row r="22" spans="1:6" x14ac:dyDescent="0.25">
      <c r="A22" s="50" t="s">
        <v>22</v>
      </c>
      <c r="B22" s="28">
        <v>120</v>
      </c>
      <c r="C22" s="30">
        <f>+avgwageperhr*B18</f>
        <v>2.125</v>
      </c>
      <c r="D22" s="51">
        <f>+C22*$B$12</f>
        <v>10.625</v>
      </c>
    </row>
    <row r="23" spans="1:6" ht="15.75" thickBot="1" x14ac:dyDescent="0.3">
      <c r="A23" s="52" t="s">
        <v>23</v>
      </c>
      <c r="B23" s="72">
        <v>400</v>
      </c>
      <c r="C23" s="29">
        <f>+avgwageperhr*B19</f>
        <v>3.4000000000000004</v>
      </c>
      <c r="D23" s="53">
        <f>+C23*$B$12</f>
        <v>17</v>
      </c>
    </row>
    <row r="24" spans="1:6" ht="15.75" thickBot="1" x14ac:dyDescent="0.3"/>
    <row r="25" spans="1:6" x14ac:dyDescent="0.25">
      <c r="A25" s="37" t="s">
        <v>36</v>
      </c>
      <c r="B25" s="67">
        <f>+IF(Avgnewhiretotalworkhours&lt;120,0,(IF(Avgnewhiretotalworkhours&lt;400,(avgwageperhr*Avgnewhiretotalworkhours*$B$9*$B$18*wotcapprovalrate),(avgwageperhr*Avgnewhiretotalworkhours*$B$19*$B$9*wotcapprovalrate))))</f>
        <v>72.25</v>
      </c>
      <c r="C25" s="43"/>
      <c r="D25" s="5"/>
    </row>
    <row r="26" spans="1:6" x14ac:dyDescent="0.25">
      <c r="A26" s="50" t="s">
        <v>34</v>
      </c>
      <c r="B26" s="54">
        <f>+$B$25*newhirespermonth</f>
        <v>361.25</v>
      </c>
      <c r="C26" s="45" t="s">
        <v>30</v>
      </c>
    </row>
    <row r="27" spans="1:6" ht="15.75" thickBot="1" x14ac:dyDescent="0.3">
      <c r="A27" s="52"/>
      <c r="B27" s="55">
        <f>+B26*12</f>
        <v>4335</v>
      </c>
      <c r="C27" s="47" t="s">
        <v>35</v>
      </c>
    </row>
    <row r="29" spans="1:6" ht="15.75" thickBot="1" x14ac:dyDescent="0.3"/>
    <row r="30" spans="1:6" ht="15.75" thickBot="1" x14ac:dyDescent="0.3">
      <c r="A30" s="42" t="s">
        <v>137</v>
      </c>
      <c r="B30" s="69">
        <f>+IF(Expectedwotcpernewhire=0,0,IF('Calc Page'!$D$6&gt;2400,2400,'Calc Page'!$D$6))</f>
        <v>1700</v>
      </c>
      <c r="C30" s="40" t="s">
        <v>59</v>
      </c>
      <c r="D30" s="70"/>
    </row>
    <row r="33" spans="1:3" x14ac:dyDescent="0.25">
      <c r="A33" s="107" t="s">
        <v>139</v>
      </c>
      <c r="B33" s="107" t="s">
        <v>140</v>
      </c>
      <c r="C33" s="107"/>
    </row>
    <row r="34" spans="1:3" x14ac:dyDescent="0.25">
      <c r="A34" s="107"/>
      <c r="B34" s="107" t="s">
        <v>138</v>
      </c>
      <c r="C34" s="107"/>
    </row>
    <row r="49" spans="15:17" x14ac:dyDescent="0.25">
      <c r="O49" s="2"/>
      <c r="P49" s="2"/>
      <c r="Q49" s="2"/>
    </row>
    <row r="50" spans="15:17" x14ac:dyDescent="0.25">
      <c r="O50" s="4"/>
      <c r="P50" s="4"/>
      <c r="Q50" s="4"/>
    </row>
    <row r="51" spans="15:17" x14ac:dyDescent="0.25">
      <c r="O51" s="4"/>
      <c r="P51" s="4"/>
      <c r="Q51" s="4"/>
    </row>
  </sheetData>
  <sheetProtection sheet="1" objects="1" scenarios="1"/>
  <printOptions horizontalCentered="1"/>
  <pageMargins left="0.7" right="0.7" top="0.75" bottom="0.75" header="0.3" footer="0.3"/>
  <pageSetup scale="99" orientation="portrait" r:id="rId1"/>
  <headerFooter>
    <oddFooter>&amp;CCourtesty of:
Owner Only Benefits
www.owneronlybenefits.com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FC09-546F-47A2-B595-544B30F4001A}">
  <sheetPr>
    <pageSetUpPr fitToPage="1"/>
  </sheetPr>
  <dimension ref="A1:N47"/>
  <sheetViews>
    <sheetView workbookViewId="0">
      <selection activeCell="B3" sqref="B3"/>
    </sheetView>
  </sheetViews>
  <sheetFormatPr defaultRowHeight="15" x14ac:dyDescent="0.25"/>
  <cols>
    <col min="1" max="1" width="21.85546875" customWidth="1"/>
    <col min="2" max="2" width="11.28515625" customWidth="1"/>
    <col min="3" max="3" width="12.5703125" bestFit="1" customWidth="1"/>
    <col min="4" max="8" width="10" bestFit="1" customWidth="1"/>
    <col min="9" max="13" width="10.5703125" bestFit="1" customWidth="1"/>
    <col min="14" max="14" width="11.28515625" customWidth="1"/>
  </cols>
  <sheetData>
    <row r="1" spans="1:14" ht="15.75" thickBot="1" x14ac:dyDescent="0.3"/>
    <row r="2" spans="1:14" ht="15.75" thickBot="1" x14ac:dyDescent="0.3">
      <c r="A2" s="17" t="s">
        <v>54</v>
      </c>
    </row>
    <row r="3" spans="1:14" ht="15.75" thickBot="1" x14ac:dyDescent="0.3">
      <c r="A3" s="5" t="s">
        <v>74</v>
      </c>
      <c r="B3" s="128">
        <f>+newhirespermonth</f>
        <v>5</v>
      </c>
      <c r="C3" s="5" t="s">
        <v>30</v>
      </c>
    </row>
    <row r="4" spans="1:14" ht="15.75" thickBot="1" x14ac:dyDescent="0.3">
      <c r="A4" s="5" t="s">
        <v>75</v>
      </c>
      <c r="B4" s="112">
        <f>+newhiresubmittedforWOTC</f>
        <v>0.05</v>
      </c>
      <c r="C4" s="5" t="s">
        <v>77</v>
      </c>
    </row>
    <row r="5" spans="1:14" ht="15.75" thickBot="1" x14ac:dyDescent="0.3">
      <c r="A5" s="5" t="s">
        <v>78</v>
      </c>
      <c r="B5" s="113">
        <f>+wotcapprovalrate</f>
        <v>0.85</v>
      </c>
      <c r="C5" s="5" t="s">
        <v>79</v>
      </c>
    </row>
    <row r="6" spans="1:14" ht="15.75" thickBot="1" x14ac:dyDescent="0.3">
      <c r="A6" s="5" t="s">
        <v>42</v>
      </c>
      <c r="B6" s="114">
        <f>+avgwageperhr</f>
        <v>8.5</v>
      </c>
      <c r="C6" s="5" t="s">
        <v>0</v>
      </c>
    </row>
    <row r="7" spans="1:14" ht="15.75" thickBot="1" x14ac:dyDescent="0.3">
      <c r="A7" s="5" t="s">
        <v>8</v>
      </c>
      <c r="B7" s="129">
        <f>+avgnewhireshifthours</f>
        <v>5</v>
      </c>
      <c r="C7" s="5" t="s">
        <v>9</v>
      </c>
    </row>
    <row r="8" spans="1:14" ht="15.75" thickBot="1" x14ac:dyDescent="0.3">
      <c r="A8" s="5" t="s">
        <v>21</v>
      </c>
      <c r="B8" s="128">
        <f>+avgnewhireduration</f>
        <v>100</v>
      </c>
      <c r="C8" s="5" t="s">
        <v>19</v>
      </c>
    </row>
    <row r="9" spans="1:14" ht="15.75" thickBot="1" x14ac:dyDescent="0.3">
      <c r="A9" s="5" t="s">
        <v>24</v>
      </c>
      <c r="B9" s="17">
        <f>+B8*B7</f>
        <v>500</v>
      </c>
      <c r="C9" s="5" t="s">
        <v>9</v>
      </c>
    </row>
    <row r="11" spans="1:14" ht="15.75" thickBot="1" x14ac:dyDescent="0.3"/>
    <row r="12" spans="1:14" x14ac:dyDescent="0.25">
      <c r="A12" s="7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</row>
    <row r="13" spans="1:14" x14ac:dyDescent="0.25">
      <c r="A13" s="1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</row>
    <row r="14" spans="1:14" x14ac:dyDescent="0.25">
      <c r="A14" s="10"/>
      <c r="B14" s="5"/>
      <c r="C14" s="157" t="s">
        <v>6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1"/>
    </row>
    <row r="15" spans="1:14" x14ac:dyDescent="0.25">
      <c r="A15" s="10"/>
      <c r="B15" s="5" t="s">
        <v>39</v>
      </c>
      <c r="C15" s="130">
        <f>+avgwageperhr</f>
        <v>8.5</v>
      </c>
      <c r="D15" s="18">
        <f t="shared" ref="D15:N15" si="0">+C15+0.25</f>
        <v>8.75</v>
      </c>
      <c r="E15" s="18">
        <f t="shared" si="0"/>
        <v>9</v>
      </c>
      <c r="F15" s="18">
        <f t="shared" si="0"/>
        <v>9.25</v>
      </c>
      <c r="G15" s="18">
        <f t="shared" si="0"/>
        <v>9.5</v>
      </c>
      <c r="H15" s="18">
        <f t="shared" si="0"/>
        <v>9.75</v>
      </c>
      <c r="I15" s="18">
        <f t="shared" si="0"/>
        <v>10</v>
      </c>
      <c r="J15" s="18">
        <f t="shared" si="0"/>
        <v>10.25</v>
      </c>
      <c r="K15" s="18">
        <f t="shared" si="0"/>
        <v>10.5</v>
      </c>
      <c r="L15" s="18">
        <f t="shared" si="0"/>
        <v>10.75</v>
      </c>
      <c r="M15" s="18">
        <f t="shared" si="0"/>
        <v>11</v>
      </c>
      <c r="N15" s="19">
        <f t="shared" si="0"/>
        <v>11.25</v>
      </c>
    </row>
    <row r="16" spans="1:14" x14ac:dyDescent="0.25">
      <c r="A16" s="10" t="s">
        <v>4</v>
      </c>
      <c r="B16" s="131">
        <v>2400</v>
      </c>
      <c r="C16" s="132">
        <f>ROUNDUP((($B16/'WOTC Inputs'!$B$19)/C$15),0)</f>
        <v>706</v>
      </c>
      <c r="D16" s="21">
        <f>ROUNDUP((($B16/'WOTC Inputs'!$B$19)/D$15),0)</f>
        <v>686</v>
      </c>
      <c r="E16" s="21">
        <f>ROUNDUP((($B16/'WOTC Inputs'!$B$19)/E$15),0)</f>
        <v>667</v>
      </c>
      <c r="F16" s="21">
        <f>ROUNDUP((($B16/'WOTC Inputs'!$B$19)/F$15),0)</f>
        <v>649</v>
      </c>
      <c r="G16" s="21">
        <f>ROUNDUP((($B16/'WOTC Inputs'!$B$19)/G$15),0)</f>
        <v>632</v>
      </c>
      <c r="H16" s="21">
        <f>ROUNDUP((($B16/'WOTC Inputs'!$B$19)/H$15),0)</f>
        <v>616</v>
      </c>
      <c r="I16" s="21">
        <f>ROUNDUP((($B16/'WOTC Inputs'!$B$19)/I$15),0)</f>
        <v>600</v>
      </c>
      <c r="J16" s="21">
        <f>ROUNDUP((($B16/'WOTC Inputs'!$B$19)/J$15),0)</f>
        <v>586</v>
      </c>
      <c r="K16" s="21">
        <f>ROUNDUP((($B16/'WOTC Inputs'!$B$19)/K$15),0)</f>
        <v>572</v>
      </c>
      <c r="L16" s="21">
        <f>ROUNDUP((($B16/'WOTC Inputs'!$B$19)/L$15),0)</f>
        <v>559</v>
      </c>
      <c r="M16" s="21">
        <f>ROUNDUP((($B16/'WOTC Inputs'!$B$19)/M$15),0)</f>
        <v>546</v>
      </c>
      <c r="N16" s="22">
        <f>ROUNDUP((($B16/'WOTC Inputs'!$B$19)/N$15),0)</f>
        <v>534</v>
      </c>
    </row>
    <row r="17" spans="1:14" x14ac:dyDescent="0.25">
      <c r="A17" s="10" t="s">
        <v>5</v>
      </c>
      <c r="B17" s="131">
        <v>1200</v>
      </c>
      <c r="C17" s="132">
        <f>ROUNDUP((($B17/'WOTC Inputs'!$B$19)/C$15),0)</f>
        <v>353</v>
      </c>
      <c r="D17" s="21">
        <f>ROUNDUP((($B17/'WOTC Inputs'!$B$19)/D$15),0)</f>
        <v>343</v>
      </c>
      <c r="E17" s="21">
        <f>ROUNDUP((($B17/'WOTC Inputs'!$B$19)/E$15),0)</f>
        <v>334</v>
      </c>
      <c r="F17" s="21">
        <f>ROUNDUP((($B17/'WOTC Inputs'!$B$19)/F$15),0)</f>
        <v>325</v>
      </c>
      <c r="G17" s="21">
        <f>ROUNDUP((($B17/'WOTC Inputs'!$B$19)/G$15),0)</f>
        <v>316</v>
      </c>
      <c r="H17" s="21">
        <f>ROUNDUP((($B17/'WOTC Inputs'!$B$19)/H$15),0)</f>
        <v>308</v>
      </c>
      <c r="I17" s="21">
        <f>ROUNDUP((($B17/'WOTC Inputs'!$B$19)/I$15),0)</f>
        <v>300</v>
      </c>
      <c r="J17" s="21">
        <f>ROUNDUP((($B17/'WOTC Inputs'!$B$19)/J$15),0)</f>
        <v>293</v>
      </c>
      <c r="K17" s="21">
        <f>ROUNDUP((($B17/'WOTC Inputs'!$B$19)/K$15),0)</f>
        <v>286</v>
      </c>
      <c r="L17" s="21">
        <f>ROUNDUP((($B17/'WOTC Inputs'!$B$19)/L$15),0)</f>
        <v>280</v>
      </c>
      <c r="M17" s="21">
        <f>ROUNDUP((($B17/'WOTC Inputs'!$B$19)/M$15),0)</f>
        <v>273</v>
      </c>
      <c r="N17" s="22">
        <f>ROUNDUP((($B17/'WOTC Inputs'!$B$19)/N$15),0)</f>
        <v>267</v>
      </c>
    </row>
    <row r="18" spans="1:14" ht="15.75" thickBot="1" x14ac:dyDescent="0.3">
      <c r="A18" s="12" t="s">
        <v>10</v>
      </c>
      <c r="B18" s="133">
        <v>9600</v>
      </c>
      <c r="C18" s="134">
        <f>ROUNDUP((($B18/'WOTC Inputs'!$B$19)/C$15),0)</f>
        <v>2824</v>
      </c>
      <c r="D18" s="24">
        <f>ROUNDUP((($B18/'WOTC Inputs'!$B$19)/D$15),0)</f>
        <v>2743</v>
      </c>
      <c r="E18" s="24">
        <f>ROUNDUP((($B18/'WOTC Inputs'!$B$19)/E$15),0)</f>
        <v>2667</v>
      </c>
      <c r="F18" s="24">
        <f>ROUNDUP((($B18/'WOTC Inputs'!$B$19)/F$15),0)</f>
        <v>2595</v>
      </c>
      <c r="G18" s="24">
        <f>ROUNDUP((($B18/'WOTC Inputs'!$B$19)/G$15),0)</f>
        <v>2527</v>
      </c>
      <c r="H18" s="24">
        <f>ROUNDUP((($B18/'WOTC Inputs'!$B$19)/H$15),0)</f>
        <v>2462</v>
      </c>
      <c r="I18" s="24">
        <f>ROUNDUP((($B18/'WOTC Inputs'!$B$19)/I$15),0)</f>
        <v>2400</v>
      </c>
      <c r="J18" s="24">
        <f>ROUNDUP((($B18/'WOTC Inputs'!$B$19)/J$15),0)</f>
        <v>2342</v>
      </c>
      <c r="K18" s="24">
        <f>ROUNDUP((($B18/'WOTC Inputs'!$B$19)/K$15),0)</f>
        <v>2286</v>
      </c>
      <c r="L18" s="24">
        <f>ROUNDUP((($B18/'WOTC Inputs'!$B$19)/L$15),0)</f>
        <v>2233</v>
      </c>
      <c r="M18" s="24">
        <f>ROUNDUP((($B18/'WOTC Inputs'!$B$19)/M$15),0)</f>
        <v>2182</v>
      </c>
      <c r="N18" s="25">
        <f>ROUNDUP((($B18/'WOTC Inputs'!$B$19)/N$15),0)</f>
        <v>2134</v>
      </c>
    </row>
    <row r="19" spans="1:14" ht="15.75" thickBot="1" x14ac:dyDescent="0.3"/>
    <row r="20" spans="1:14" ht="15.75" thickBot="1" x14ac:dyDescent="0.3">
      <c r="A20" s="7" t="s">
        <v>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</row>
    <row r="21" spans="1:14" ht="15.75" thickBot="1" x14ac:dyDescent="0.3">
      <c r="A21" s="10" t="s">
        <v>106</v>
      </c>
      <c r="B21" s="80">
        <f>+B7</f>
        <v>5</v>
      </c>
      <c r="C21" s="5" t="s">
        <v>9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</row>
    <row r="22" spans="1:14" x14ac:dyDescent="0.25">
      <c r="A22" s="10"/>
      <c r="B22" s="5"/>
      <c r="C22" s="157" t="s">
        <v>6</v>
      </c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1"/>
    </row>
    <row r="23" spans="1:14" x14ac:dyDescent="0.25">
      <c r="A23" s="10"/>
      <c r="B23" s="5" t="s">
        <v>39</v>
      </c>
      <c r="C23" s="130">
        <f t="shared" ref="C23:N23" si="1">+C15</f>
        <v>8.5</v>
      </c>
      <c r="D23" s="135">
        <f t="shared" si="1"/>
        <v>8.75</v>
      </c>
      <c r="E23" s="135">
        <f t="shared" si="1"/>
        <v>9</v>
      </c>
      <c r="F23" s="135">
        <f t="shared" si="1"/>
        <v>9.25</v>
      </c>
      <c r="G23" s="135">
        <f t="shared" si="1"/>
        <v>9.5</v>
      </c>
      <c r="H23" s="135">
        <f t="shared" si="1"/>
        <v>9.75</v>
      </c>
      <c r="I23" s="135">
        <f t="shared" si="1"/>
        <v>10</v>
      </c>
      <c r="J23" s="135">
        <f t="shared" si="1"/>
        <v>10.25</v>
      </c>
      <c r="K23" s="135">
        <f t="shared" si="1"/>
        <v>10.5</v>
      </c>
      <c r="L23" s="135">
        <f t="shared" si="1"/>
        <v>10.75</v>
      </c>
      <c r="M23" s="135">
        <f t="shared" si="1"/>
        <v>11</v>
      </c>
      <c r="N23" s="136">
        <f t="shared" si="1"/>
        <v>11.25</v>
      </c>
    </row>
    <row r="24" spans="1:14" x14ac:dyDescent="0.25">
      <c r="A24" s="10" t="s">
        <v>4</v>
      </c>
      <c r="B24" s="131">
        <v>2400</v>
      </c>
      <c r="C24" s="31">
        <f>+ROUNDUP((C16/$B$21),0)</f>
        <v>142</v>
      </c>
      <c r="D24" s="137">
        <f t="shared" ref="D24:N24" si="2">+ROUNDUP((D16/$B$21),0)</f>
        <v>138</v>
      </c>
      <c r="E24" s="137">
        <f t="shared" si="2"/>
        <v>134</v>
      </c>
      <c r="F24" s="137">
        <f t="shared" si="2"/>
        <v>130</v>
      </c>
      <c r="G24" s="137">
        <f t="shared" si="2"/>
        <v>127</v>
      </c>
      <c r="H24" s="137">
        <f t="shared" si="2"/>
        <v>124</v>
      </c>
      <c r="I24" s="137">
        <f t="shared" si="2"/>
        <v>120</v>
      </c>
      <c r="J24" s="137">
        <f t="shared" si="2"/>
        <v>118</v>
      </c>
      <c r="K24" s="137">
        <f t="shared" si="2"/>
        <v>115</v>
      </c>
      <c r="L24" s="137">
        <f t="shared" si="2"/>
        <v>112</v>
      </c>
      <c r="M24" s="137">
        <f t="shared" si="2"/>
        <v>110</v>
      </c>
      <c r="N24" s="138">
        <f t="shared" si="2"/>
        <v>107</v>
      </c>
    </row>
    <row r="25" spans="1:14" x14ac:dyDescent="0.25">
      <c r="A25" s="10" t="s">
        <v>5</v>
      </c>
      <c r="B25" s="131">
        <v>1200</v>
      </c>
      <c r="C25" s="31">
        <f>+ROUNDUP((C17/$B$21),0)</f>
        <v>71</v>
      </c>
      <c r="D25" s="137">
        <f t="shared" ref="D25:N25" si="3">+ROUNDUP((D17/$B$21),0)</f>
        <v>69</v>
      </c>
      <c r="E25" s="137">
        <f t="shared" si="3"/>
        <v>67</v>
      </c>
      <c r="F25" s="137">
        <f t="shared" si="3"/>
        <v>65</v>
      </c>
      <c r="G25" s="137">
        <f t="shared" si="3"/>
        <v>64</v>
      </c>
      <c r="H25" s="137">
        <f t="shared" si="3"/>
        <v>62</v>
      </c>
      <c r="I25" s="137">
        <f t="shared" si="3"/>
        <v>60</v>
      </c>
      <c r="J25" s="137">
        <f t="shared" si="3"/>
        <v>59</v>
      </c>
      <c r="K25" s="137">
        <f t="shared" si="3"/>
        <v>58</v>
      </c>
      <c r="L25" s="137">
        <f t="shared" si="3"/>
        <v>56</v>
      </c>
      <c r="M25" s="137">
        <f t="shared" si="3"/>
        <v>55</v>
      </c>
      <c r="N25" s="138">
        <f t="shared" si="3"/>
        <v>54</v>
      </c>
    </row>
    <row r="26" spans="1:14" ht="15.75" thickBot="1" x14ac:dyDescent="0.3">
      <c r="A26" s="12" t="s">
        <v>10</v>
      </c>
      <c r="B26" s="133">
        <v>9600</v>
      </c>
      <c r="C26" s="32">
        <f>+ROUNDUP((C18/$B$21),0)</f>
        <v>565</v>
      </c>
      <c r="D26" s="139">
        <f t="shared" ref="D26:N26" si="4">+ROUNDUP((D18/$B$21),0)</f>
        <v>549</v>
      </c>
      <c r="E26" s="139">
        <f t="shared" si="4"/>
        <v>534</v>
      </c>
      <c r="F26" s="139">
        <f t="shared" si="4"/>
        <v>519</v>
      </c>
      <c r="G26" s="139">
        <f t="shared" si="4"/>
        <v>506</v>
      </c>
      <c r="H26" s="139">
        <f t="shared" si="4"/>
        <v>493</v>
      </c>
      <c r="I26" s="139">
        <f t="shared" si="4"/>
        <v>480</v>
      </c>
      <c r="J26" s="139">
        <f t="shared" si="4"/>
        <v>469</v>
      </c>
      <c r="K26" s="139">
        <f t="shared" si="4"/>
        <v>458</v>
      </c>
      <c r="L26" s="139">
        <f t="shared" si="4"/>
        <v>447</v>
      </c>
      <c r="M26" s="139">
        <f t="shared" si="4"/>
        <v>437</v>
      </c>
      <c r="N26" s="140">
        <f t="shared" si="4"/>
        <v>427</v>
      </c>
    </row>
    <row r="28" spans="1:14" ht="15.75" thickBot="1" x14ac:dyDescent="0.3"/>
    <row r="29" spans="1:14" x14ac:dyDescent="0.25">
      <c r="A29" s="7" t="s">
        <v>40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</row>
    <row r="30" spans="1:14" ht="15.75" thickBot="1" x14ac:dyDescent="0.3">
      <c r="A30" s="10" t="s">
        <v>37</v>
      </c>
      <c r="B30" s="26" t="s">
        <v>38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</row>
    <row r="31" spans="1:14" ht="15.75" thickBot="1" x14ac:dyDescent="0.3">
      <c r="A31" s="10" t="s">
        <v>106</v>
      </c>
      <c r="B31" s="66">
        <f>+B21</f>
        <v>5</v>
      </c>
      <c r="C31" s="5" t="s">
        <v>9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</row>
    <row r="32" spans="1:14" x14ac:dyDescent="0.25">
      <c r="A32" s="10"/>
      <c r="B32" s="5"/>
      <c r="C32" s="157" t="s">
        <v>44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1"/>
    </row>
    <row r="33" spans="1:14" x14ac:dyDescent="0.25">
      <c r="A33" s="10"/>
      <c r="B33" s="5"/>
      <c r="C33" s="28">
        <f>+avgnewhireduration</f>
        <v>100</v>
      </c>
      <c r="D33" s="3">
        <f>ROUNDUP((C33*0.75),0)</f>
        <v>75</v>
      </c>
      <c r="E33" s="3">
        <f>+D33+10</f>
        <v>85</v>
      </c>
      <c r="F33" s="3">
        <f t="shared" ref="F33:N33" si="5">+E33+10</f>
        <v>95</v>
      </c>
      <c r="G33" s="3">
        <f t="shared" si="5"/>
        <v>105</v>
      </c>
      <c r="H33" s="3">
        <f t="shared" si="5"/>
        <v>115</v>
      </c>
      <c r="I33" s="3">
        <f t="shared" si="5"/>
        <v>125</v>
      </c>
      <c r="J33" s="3">
        <f t="shared" si="5"/>
        <v>135</v>
      </c>
      <c r="K33" s="3">
        <f t="shared" si="5"/>
        <v>145</v>
      </c>
      <c r="L33" s="3">
        <f t="shared" si="5"/>
        <v>155</v>
      </c>
      <c r="M33" s="3">
        <f t="shared" si="5"/>
        <v>165</v>
      </c>
      <c r="N33" s="27">
        <f t="shared" si="5"/>
        <v>175</v>
      </c>
    </row>
    <row r="34" spans="1:14" x14ac:dyDescent="0.25">
      <c r="A34" s="10" t="s">
        <v>32</v>
      </c>
      <c r="B34" s="20"/>
      <c r="C34" s="130">
        <f>+'WOTC Inputs'!B25</f>
        <v>72.25</v>
      </c>
      <c r="D34" s="135">
        <f t="shared" ref="D34:N34" si="6">+IF((D33*$B$31)&lt;120,0,(IF((D33*$B$31)&lt;400,(avgwageperhr*(D33*$B$31)*wagecredit120hr*$B$4*wotcapprovalrate),(avgwageperhr*(D33*$B$31)*wagecredit400hr*$B$4*wotcapprovalrate))))</f>
        <v>33.8671875</v>
      </c>
      <c r="E34" s="135">
        <f t="shared" si="6"/>
        <v>61.412500000000001</v>
      </c>
      <c r="F34" s="135">
        <f t="shared" si="6"/>
        <v>68.637500000000003</v>
      </c>
      <c r="G34" s="135">
        <f t="shared" si="6"/>
        <v>75.862499999999997</v>
      </c>
      <c r="H34" s="135">
        <f t="shared" si="6"/>
        <v>83.087499999999991</v>
      </c>
      <c r="I34" s="135">
        <f t="shared" si="6"/>
        <v>90.3125</v>
      </c>
      <c r="J34" s="135">
        <f t="shared" si="6"/>
        <v>97.537499999999994</v>
      </c>
      <c r="K34" s="135">
        <f t="shared" si="6"/>
        <v>104.7625</v>
      </c>
      <c r="L34" s="135">
        <f t="shared" si="6"/>
        <v>111.9875</v>
      </c>
      <c r="M34" s="135">
        <f t="shared" si="6"/>
        <v>119.21249999999999</v>
      </c>
      <c r="N34" s="136">
        <f t="shared" si="6"/>
        <v>126.4375</v>
      </c>
    </row>
    <row r="35" spans="1:14" ht="15.75" thickBot="1" x14ac:dyDescent="0.3">
      <c r="A35" s="12" t="s">
        <v>70</v>
      </c>
      <c r="B35" s="23"/>
      <c r="C35" s="141"/>
      <c r="D35" s="142">
        <f t="shared" ref="D35:N35" si="7">(D34/$C$34)-1</f>
        <v>-0.53125</v>
      </c>
      <c r="E35" s="142">
        <f t="shared" si="7"/>
        <v>-0.15000000000000002</v>
      </c>
      <c r="F35" s="142">
        <f t="shared" si="7"/>
        <v>-4.9999999999999933E-2</v>
      </c>
      <c r="G35" s="142">
        <f t="shared" si="7"/>
        <v>5.0000000000000044E-2</v>
      </c>
      <c r="H35" s="142">
        <f t="shared" si="7"/>
        <v>0.14999999999999991</v>
      </c>
      <c r="I35" s="142">
        <f t="shared" si="7"/>
        <v>0.25</v>
      </c>
      <c r="J35" s="142">
        <f t="shared" si="7"/>
        <v>0.34999999999999987</v>
      </c>
      <c r="K35" s="142">
        <f t="shared" si="7"/>
        <v>0.44999999999999996</v>
      </c>
      <c r="L35" s="142">
        <f t="shared" si="7"/>
        <v>0.55000000000000004</v>
      </c>
      <c r="M35" s="142">
        <f t="shared" si="7"/>
        <v>0.64999999999999991</v>
      </c>
      <c r="N35" s="143">
        <f t="shared" si="7"/>
        <v>0.75</v>
      </c>
    </row>
    <row r="36" spans="1:14" x14ac:dyDescent="0.25">
      <c r="A36" s="5"/>
      <c r="B36" s="2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x14ac:dyDescent="0.25">
      <c r="A37" s="5"/>
      <c r="B37" s="5"/>
      <c r="C37" s="5"/>
      <c r="D37" s="5"/>
      <c r="E37" s="6"/>
      <c r="F37" s="5"/>
    </row>
    <row r="38" spans="1:14" ht="15.75" thickBot="1" x14ac:dyDescent="0.3"/>
    <row r="39" spans="1:14" x14ac:dyDescent="0.25">
      <c r="A39" s="7" t="s">
        <v>40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</row>
    <row r="40" spans="1:14" ht="15.75" thickBot="1" x14ac:dyDescent="0.3">
      <c r="A40" s="10" t="s">
        <v>37</v>
      </c>
      <c r="B40" s="26" t="s">
        <v>43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</row>
    <row r="41" spans="1:14" ht="15.75" thickBot="1" x14ac:dyDescent="0.3">
      <c r="A41" s="10" t="s">
        <v>45</v>
      </c>
      <c r="B41" s="66">
        <f>+B8</f>
        <v>100</v>
      </c>
      <c r="C41" s="5" t="s">
        <v>19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</row>
    <row r="42" spans="1:14" ht="15.75" thickBot="1" x14ac:dyDescent="0.3">
      <c r="A42" s="10" t="s">
        <v>72</v>
      </c>
      <c r="B42" s="66">
        <f>+B3</f>
        <v>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</row>
    <row r="43" spans="1:14" x14ac:dyDescent="0.25">
      <c r="A43" s="10"/>
      <c r="B43" s="5"/>
      <c r="C43" s="157" t="s">
        <v>43</v>
      </c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1"/>
    </row>
    <row r="44" spans="1:14" x14ac:dyDescent="0.25">
      <c r="A44" s="10"/>
      <c r="B44" s="5"/>
      <c r="C44" s="144">
        <f>+wotcapprovalrate</f>
        <v>0.85</v>
      </c>
      <c r="D44" s="145">
        <f t="shared" ref="D44:N44" si="8">+C44+0.01</f>
        <v>0.86</v>
      </c>
      <c r="E44" s="145">
        <f t="shared" si="8"/>
        <v>0.87</v>
      </c>
      <c r="F44" s="145">
        <f t="shared" si="8"/>
        <v>0.88</v>
      </c>
      <c r="G44" s="145">
        <f t="shared" si="8"/>
        <v>0.89</v>
      </c>
      <c r="H44" s="145">
        <f t="shared" si="8"/>
        <v>0.9</v>
      </c>
      <c r="I44" s="145">
        <f t="shared" si="8"/>
        <v>0.91</v>
      </c>
      <c r="J44" s="145">
        <f t="shared" si="8"/>
        <v>0.92</v>
      </c>
      <c r="K44" s="145">
        <f t="shared" si="8"/>
        <v>0.93</v>
      </c>
      <c r="L44" s="145">
        <f t="shared" si="8"/>
        <v>0.94000000000000006</v>
      </c>
      <c r="M44" s="145">
        <f t="shared" si="8"/>
        <v>0.95000000000000007</v>
      </c>
      <c r="N44" s="146">
        <f t="shared" si="8"/>
        <v>0.96000000000000008</v>
      </c>
    </row>
    <row r="45" spans="1:14" x14ac:dyDescent="0.25">
      <c r="A45" s="10" t="s">
        <v>32</v>
      </c>
      <c r="B45" s="20"/>
      <c r="C45" s="130">
        <f t="shared" ref="C45:N45" si="9">+IF(($B$41*$B$31)&lt;120,0,(IF(($B$41*$B$31)&lt;400,(avgwageperhr*($B$41*$B$31)*wagecredit120hr*C$44*$B$4),(avgwageperhr*($B$41*$B$31)*wagecredit400hr*C$44*$B$4))))</f>
        <v>72.25</v>
      </c>
      <c r="D45" s="135">
        <f t="shared" si="9"/>
        <v>73.100000000000009</v>
      </c>
      <c r="E45" s="135">
        <f t="shared" si="9"/>
        <v>73.95</v>
      </c>
      <c r="F45" s="135">
        <f t="shared" si="9"/>
        <v>74.8</v>
      </c>
      <c r="G45" s="135">
        <f t="shared" si="9"/>
        <v>75.650000000000006</v>
      </c>
      <c r="H45" s="135">
        <f t="shared" si="9"/>
        <v>76.5</v>
      </c>
      <c r="I45" s="135">
        <f t="shared" si="9"/>
        <v>77.350000000000009</v>
      </c>
      <c r="J45" s="135">
        <f t="shared" si="9"/>
        <v>78.2</v>
      </c>
      <c r="K45" s="135">
        <f t="shared" si="9"/>
        <v>79.050000000000011</v>
      </c>
      <c r="L45" s="135">
        <f t="shared" si="9"/>
        <v>79.900000000000006</v>
      </c>
      <c r="M45" s="135">
        <f t="shared" si="9"/>
        <v>80.75</v>
      </c>
      <c r="N45" s="136">
        <f t="shared" si="9"/>
        <v>81.600000000000023</v>
      </c>
    </row>
    <row r="46" spans="1:14" x14ac:dyDescent="0.25">
      <c r="A46" s="10" t="s">
        <v>73</v>
      </c>
      <c r="B46" s="20"/>
      <c r="C46" s="147">
        <f>+C45*$B$42*12</f>
        <v>4335</v>
      </c>
      <c r="D46" s="147">
        <f>+D45*$B$42*12</f>
        <v>4386.0000000000009</v>
      </c>
      <c r="E46" s="147">
        <f t="shared" ref="E46:N46" si="10">+E45*$B$42*12</f>
        <v>4437</v>
      </c>
      <c r="F46" s="147">
        <f t="shared" si="10"/>
        <v>4488</v>
      </c>
      <c r="G46" s="147">
        <f t="shared" si="10"/>
        <v>4539</v>
      </c>
      <c r="H46" s="147">
        <f t="shared" si="10"/>
        <v>4590</v>
      </c>
      <c r="I46" s="147">
        <f t="shared" si="10"/>
        <v>4641.0000000000009</v>
      </c>
      <c r="J46" s="147">
        <f t="shared" si="10"/>
        <v>4692</v>
      </c>
      <c r="K46" s="147">
        <f t="shared" si="10"/>
        <v>4743.0000000000009</v>
      </c>
      <c r="L46" s="147">
        <f t="shared" si="10"/>
        <v>4794</v>
      </c>
      <c r="M46" s="147">
        <f t="shared" si="10"/>
        <v>4845</v>
      </c>
      <c r="N46" s="148">
        <f t="shared" si="10"/>
        <v>4896.0000000000018</v>
      </c>
    </row>
    <row r="47" spans="1:14" ht="15.75" thickBot="1" x14ac:dyDescent="0.3">
      <c r="A47" s="12" t="s">
        <v>71</v>
      </c>
      <c r="B47" s="34"/>
      <c r="C47" s="34"/>
      <c r="D47" s="142">
        <f>(D45/$C$45)-1</f>
        <v>1.1764705882353121E-2</v>
      </c>
      <c r="E47" s="142">
        <f>(E45/$C$45)-1</f>
        <v>2.3529411764706021E-2</v>
      </c>
      <c r="F47" s="142">
        <f>(F45/$C$45)-1</f>
        <v>3.5294117647058698E-2</v>
      </c>
      <c r="G47" s="142">
        <f>(G45/$C$45)-1</f>
        <v>4.705882352941182E-2</v>
      </c>
      <c r="H47" s="142">
        <f>(H45/$C$45)-1</f>
        <v>5.8823529411764719E-2</v>
      </c>
      <c r="I47" s="142">
        <f t="shared" ref="I47:N47" si="11">(I45/$C$45)-1</f>
        <v>7.058823529411784E-2</v>
      </c>
      <c r="J47" s="142">
        <f t="shared" si="11"/>
        <v>8.2352941176470518E-2</v>
      </c>
      <c r="K47" s="142">
        <f t="shared" si="11"/>
        <v>9.4117647058823639E-2</v>
      </c>
      <c r="L47" s="142">
        <f t="shared" si="11"/>
        <v>0.10588235294117654</v>
      </c>
      <c r="M47" s="142">
        <f t="shared" si="11"/>
        <v>0.11764705882352944</v>
      </c>
      <c r="N47" s="143">
        <f t="shared" si="11"/>
        <v>0.12941176470588256</v>
      </c>
    </row>
  </sheetData>
  <sheetProtection sheet="1" objects="1" scenarios="1"/>
  <mergeCells count="4">
    <mergeCell ref="C43:M43"/>
    <mergeCell ref="C14:M14"/>
    <mergeCell ref="C22:M22"/>
    <mergeCell ref="C32:M32"/>
  </mergeCells>
  <printOptions horizontalCentered="1" verticalCentered="1"/>
  <pageMargins left="0.7" right="0.7" top="0.75" bottom="0.75" header="0.3" footer="0.3"/>
  <pageSetup scale="72" orientation="landscape" r:id="rId1"/>
  <headerFooter>
    <oddHeader>&amp;C&amp;"-,Bold"&amp;18WOTC Variables Analysis</oddHeader>
    <oddFooter>&amp;CCourtesy of:  Owner Only Benefits
www.owneronlybenefits.com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2A02-D750-454C-9E9E-E665AB4FBDDF}">
  <sheetPr>
    <pageSetUpPr fitToPage="1"/>
  </sheetPr>
  <dimension ref="A2:Q56"/>
  <sheetViews>
    <sheetView workbookViewId="0">
      <selection activeCell="C8" sqref="C8"/>
    </sheetView>
  </sheetViews>
  <sheetFormatPr defaultRowHeight="15" x14ac:dyDescent="0.25"/>
  <cols>
    <col min="1" max="1" width="23.5703125" customWidth="1"/>
    <col min="2" max="2" width="1.7109375" customWidth="1"/>
    <col min="3" max="3" width="17.5703125" customWidth="1"/>
    <col min="4" max="4" width="15.5703125" customWidth="1"/>
    <col min="5" max="6" width="12.7109375" customWidth="1"/>
    <col min="7" max="8" width="13.28515625" bestFit="1" customWidth="1"/>
    <col min="10" max="10" width="10.28515625" customWidth="1"/>
    <col min="12" max="12" width="16" customWidth="1"/>
    <col min="13" max="13" width="11.5703125" bestFit="1" customWidth="1"/>
    <col min="14" max="14" width="14.7109375" customWidth="1"/>
    <col min="15" max="15" width="12.7109375" customWidth="1"/>
    <col min="16" max="16" width="13.28515625" bestFit="1" customWidth="1"/>
  </cols>
  <sheetData>
    <row r="2" spans="1:6" ht="28.5" x14ac:dyDescent="0.45">
      <c r="A2" s="61" t="s">
        <v>81</v>
      </c>
    </row>
    <row r="3" spans="1:6" ht="28.5" x14ac:dyDescent="0.45">
      <c r="A3" s="61" t="s">
        <v>102</v>
      </c>
    </row>
    <row r="4" spans="1:6" x14ac:dyDescent="0.25">
      <c r="A4" s="60" t="s">
        <v>107</v>
      </c>
    </row>
    <row r="7" spans="1:6" ht="15.75" thickBot="1" x14ac:dyDescent="0.3"/>
    <row r="8" spans="1:6" ht="15.75" thickBot="1" x14ac:dyDescent="0.3">
      <c r="A8" s="5" t="s">
        <v>81</v>
      </c>
      <c r="B8" s="5"/>
      <c r="C8" s="64">
        <v>89</v>
      </c>
      <c r="D8" s="5" t="s">
        <v>83</v>
      </c>
      <c r="E8" s="5"/>
      <c r="F8" s="85"/>
    </row>
    <row r="9" spans="1:6" ht="15.75" thickBot="1" x14ac:dyDescent="0.3">
      <c r="A9" s="5" t="s">
        <v>84</v>
      </c>
      <c r="B9" s="5"/>
      <c r="C9" s="64">
        <v>800</v>
      </c>
      <c r="D9" s="5" t="s">
        <v>85</v>
      </c>
      <c r="E9" s="5"/>
      <c r="F9" s="85"/>
    </row>
    <row r="10" spans="1:6" ht="15.75" thickBot="1" x14ac:dyDescent="0.3">
      <c r="A10" s="5" t="str">
        <f>+'WOTC Inputs'!A8</f>
        <v>New Hires</v>
      </c>
      <c r="B10" s="5"/>
      <c r="C10" s="110">
        <f>+newhirespermonth</f>
        <v>5</v>
      </c>
      <c r="D10" s="5" t="s">
        <v>118</v>
      </c>
      <c r="E10" s="5"/>
    </row>
    <row r="11" spans="1:6" ht="15.75" thickBot="1" x14ac:dyDescent="0.3">
      <c r="A11" s="5" t="s">
        <v>15</v>
      </c>
      <c r="B11" s="5"/>
      <c r="C11" s="110">
        <f>+avgnewhireduration</f>
        <v>100</v>
      </c>
      <c r="D11" s="5" t="s">
        <v>20</v>
      </c>
      <c r="E11" s="5"/>
      <c r="F11" s="85"/>
    </row>
    <row r="12" spans="1:6" ht="15.75" thickBot="1" x14ac:dyDescent="0.3">
      <c r="A12" s="5" t="s">
        <v>111</v>
      </c>
      <c r="B12" s="5"/>
      <c r="C12" s="110">
        <f>(ROUNDUP(C11/30,0))*C10</f>
        <v>20</v>
      </c>
      <c r="D12" s="5" t="s">
        <v>119</v>
      </c>
      <c r="E12" s="5"/>
      <c r="F12" s="5"/>
    </row>
    <row r="13" spans="1:6" ht="15.75" thickBot="1" x14ac:dyDescent="0.3">
      <c r="A13" s="5" t="s">
        <v>109</v>
      </c>
      <c r="B13" s="5"/>
      <c r="C13" s="63">
        <v>0.22</v>
      </c>
      <c r="D13" s="5" t="s">
        <v>110</v>
      </c>
      <c r="E13" s="5"/>
      <c r="F13" s="5"/>
    </row>
    <row r="14" spans="1:6" ht="15.75" thickBot="1" x14ac:dyDescent="0.3">
      <c r="A14" s="5" t="s">
        <v>123</v>
      </c>
      <c r="B14" s="5"/>
      <c r="C14" s="125">
        <f>+avghiresduringeetenure*sprocketsavgred</f>
        <v>4.4000000000000004</v>
      </c>
      <c r="D14" s="5" t="s">
        <v>113</v>
      </c>
      <c r="E14" s="5"/>
      <c r="F14" s="5"/>
    </row>
    <row r="15" spans="1:6" ht="15.75" thickBot="1" x14ac:dyDescent="0.3">
      <c r="A15" s="5" t="s">
        <v>114</v>
      </c>
      <c r="B15" s="5"/>
      <c r="C15" s="115">
        <f>+C14*C9</f>
        <v>3520.0000000000005</v>
      </c>
      <c r="D15" s="5" t="s">
        <v>112</v>
      </c>
      <c r="E15" s="5"/>
      <c r="F15" s="5"/>
    </row>
    <row r="16" spans="1:6" ht="15.75" thickBot="1" x14ac:dyDescent="0.3">
      <c r="A16" s="5" t="s">
        <v>8</v>
      </c>
      <c r="B16" s="5"/>
      <c r="C16" s="111">
        <f>+avgnewhireshifthours</f>
        <v>5</v>
      </c>
      <c r="D16" s="5" t="s">
        <v>9</v>
      </c>
      <c r="E16" s="5"/>
      <c r="F16" s="5"/>
    </row>
    <row r="17" spans="1:17" ht="15.75" thickBot="1" x14ac:dyDescent="0.3">
      <c r="A17" s="5" t="s">
        <v>27</v>
      </c>
      <c r="B17" s="5"/>
      <c r="C17" s="68">
        <f>++C11*C16</f>
        <v>500</v>
      </c>
      <c r="D17" s="5" t="s">
        <v>49</v>
      </c>
      <c r="E17" s="5"/>
      <c r="F17" s="5"/>
    </row>
    <row r="18" spans="1:17" ht="15.75" thickBot="1" x14ac:dyDescent="0.3">
      <c r="A18" s="5" t="s">
        <v>75</v>
      </c>
      <c r="C18" s="112">
        <f>+newhiresubmittedforWOTC</f>
        <v>0.05</v>
      </c>
      <c r="D18" s="5" t="s">
        <v>77</v>
      </c>
      <c r="E18" s="5"/>
      <c r="F18" s="5"/>
    </row>
    <row r="19" spans="1:17" ht="15.75" thickBot="1" x14ac:dyDescent="0.3">
      <c r="A19" s="5" t="s">
        <v>78</v>
      </c>
      <c r="B19" s="5"/>
      <c r="C19" s="113">
        <f>+wotcapprovalrate</f>
        <v>0.85</v>
      </c>
      <c r="D19" s="5" t="s">
        <v>79</v>
      </c>
      <c r="E19" s="5"/>
      <c r="F19" s="5"/>
    </row>
    <row r="20" spans="1:17" ht="15.75" thickBot="1" x14ac:dyDescent="0.3">
      <c r="A20" s="5" t="s">
        <v>26</v>
      </c>
      <c r="B20" s="5"/>
      <c r="C20" s="114">
        <f>+avgwageperhr</f>
        <v>8.5</v>
      </c>
      <c r="D20" s="5" t="s">
        <v>0</v>
      </c>
      <c r="E20" s="5"/>
      <c r="F20" s="5"/>
    </row>
    <row r="21" spans="1:17" x14ac:dyDescent="0.25">
      <c r="A21" s="5"/>
      <c r="C21" s="16"/>
      <c r="D21" s="5"/>
    </row>
    <row r="22" spans="1:17" x14ac:dyDescent="0.25">
      <c r="C22" s="158" t="s">
        <v>31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</row>
    <row r="23" spans="1:17" ht="15.75" thickBot="1" x14ac:dyDescent="0.3">
      <c r="C23" s="2">
        <v>1</v>
      </c>
      <c r="D23" s="2">
        <f>+C23+1</f>
        <v>2</v>
      </c>
      <c r="E23" s="2">
        <f t="shared" ref="E23:N23" si="0">+D23+1</f>
        <v>3</v>
      </c>
      <c r="F23" s="2">
        <f t="shared" si="0"/>
        <v>4</v>
      </c>
      <c r="G23" s="2">
        <f t="shared" si="0"/>
        <v>5</v>
      </c>
      <c r="H23" s="2">
        <f t="shared" si="0"/>
        <v>6</v>
      </c>
      <c r="I23" s="2">
        <f t="shared" si="0"/>
        <v>7</v>
      </c>
      <c r="J23" s="2">
        <f t="shared" si="0"/>
        <v>8</v>
      </c>
      <c r="K23" s="2">
        <f t="shared" si="0"/>
        <v>9</v>
      </c>
      <c r="L23" s="2">
        <f t="shared" si="0"/>
        <v>10</v>
      </c>
      <c r="M23" s="2">
        <f t="shared" si="0"/>
        <v>11</v>
      </c>
      <c r="N23" s="2">
        <f t="shared" si="0"/>
        <v>12</v>
      </c>
    </row>
    <row r="24" spans="1:17" x14ac:dyDescent="0.25">
      <c r="A24" s="3" t="s">
        <v>82</v>
      </c>
      <c r="C24" s="86">
        <f>+$C$8</f>
        <v>89</v>
      </c>
      <c r="D24" s="87">
        <f t="shared" ref="D24:N24" si="1">+$C$8</f>
        <v>89</v>
      </c>
      <c r="E24" s="87">
        <f t="shared" si="1"/>
        <v>89</v>
      </c>
      <c r="F24" s="87">
        <f t="shared" si="1"/>
        <v>89</v>
      </c>
      <c r="G24" s="87">
        <f t="shared" si="1"/>
        <v>89</v>
      </c>
      <c r="H24" s="87">
        <f t="shared" si="1"/>
        <v>89</v>
      </c>
      <c r="I24" s="87">
        <f t="shared" si="1"/>
        <v>89</v>
      </c>
      <c r="J24" s="87">
        <f t="shared" si="1"/>
        <v>89</v>
      </c>
      <c r="K24" s="87">
        <f t="shared" si="1"/>
        <v>89</v>
      </c>
      <c r="L24" s="87">
        <f t="shared" si="1"/>
        <v>89</v>
      </c>
      <c r="M24" s="87">
        <f t="shared" si="1"/>
        <v>89</v>
      </c>
      <c r="N24" s="88">
        <f t="shared" si="1"/>
        <v>89</v>
      </c>
      <c r="O24" s="15"/>
    </row>
    <row r="25" spans="1:17" ht="15.75" thickBot="1" x14ac:dyDescent="0.3">
      <c r="A25" s="3" t="s">
        <v>57</v>
      </c>
      <c r="C25" s="92">
        <f>+C24</f>
        <v>89</v>
      </c>
      <c r="D25" s="93">
        <f t="shared" ref="D25:N25" si="2">+C25+D24</f>
        <v>178</v>
      </c>
      <c r="E25" s="93">
        <f t="shared" si="2"/>
        <v>267</v>
      </c>
      <c r="F25" s="93">
        <f t="shared" si="2"/>
        <v>356</v>
      </c>
      <c r="G25" s="93">
        <f t="shared" si="2"/>
        <v>445</v>
      </c>
      <c r="H25" s="93">
        <f t="shared" si="2"/>
        <v>534</v>
      </c>
      <c r="I25" s="93">
        <f t="shared" si="2"/>
        <v>623</v>
      </c>
      <c r="J25" s="93">
        <f t="shared" si="2"/>
        <v>712</v>
      </c>
      <c r="K25" s="93">
        <f t="shared" si="2"/>
        <v>801</v>
      </c>
      <c r="L25" s="93">
        <f t="shared" si="2"/>
        <v>890</v>
      </c>
      <c r="M25" s="93">
        <f t="shared" si="2"/>
        <v>979</v>
      </c>
      <c r="N25" s="102">
        <f t="shared" si="2"/>
        <v>1068</v>
      </c>
    </row>
    <row r="26" spans="1:17" ht="15.75" thickTop="1" x14ac:dyDescent="0.25"/>
    <row r="27" spans="1:17" ht="15.75" thickBot="1" x14ac:dyDescent="0.3"/>
    <row r="28" spans="1:17" ht="15.75" thickBot="1" x14ac:dyDescent="0.3">
      <c r="A28" s="17" t="s">
        <v>52</v>
      </c>
      <c r="B28" s="40"/>
      <c r="C28" s="40"/>
      <c r="D28" s="41"/>
      <c r="E28" s="8"/>
      <c r="F28" s="8"/>
      <c r="G28" s="8"/>
      <c r="H28" s="9"/>
      <c r="J28" s="104" t="s">
        <v>76</v>
      </c>
      <c r="K28" s="105"/>
      <c r="L28" s="105"/>
      <c r="M28" s="105"/>
      <c r="N28" s="105"/>
      <c r="O28" s="105"/>
      <c r="P28" s="9"/>
      <c r="Q28" s="5"/>
    </row>
    <row r="29" spans="1:17" x14ac:dyDescent="0.25">
      <c r="H29" s="11"/>
      <c r="J29" s="106"/>
      <c r="P29" s="96"/>
      <c r="Q29" s="5"/>
    </row>
    <row r="30" spans="1:17" x14ac:dyDescent="0.25">
      <c r="A30" s="10" t="s">
        <v>48</v>
      </c>
      <c r="B30" s="5"/>
      <c r="C30" s="5"/>
      <c r="D30" s="36">
        <f>+Expectedwotcpernewhire</f>
        <v>72.25</v>
      </c>
      <c r="E30" s="5" t="s">
        <v>50</v>
      </c>
      <c r="F30" s="5"/>
      <c r="G30" s="5"/>
      <c r="H30" s="11"/>
      <c r="J30" s="10" t="s">
        <v>48</v>
      </c>
      <c r="K30" s="5"/>
      <c r="L30" s="5"/>
      <c r="M30" s="54">
        <f>+avgWOTCparticipantbenefit</f>
        <v>1700</v>
      </c>
      <c r="N30" s="5" t="s">
        <v>50</v>
      </c>
      <c r="O30" s="5"/>
      <c r="P30" s="11"/>
      <c r="Q30" s="5"/>
    </row>
    <row r="31" spans="1:17" x14ac:dyDescent="0.25">
      <c r="A31" s="10" t="s">
        <v>115</v>
      </c>
      <c r="B31" s="5"/>
      <c r="C31" s="5"/>
      <c r="D31" s="116">
        <f>+C15</f>
        <v>3520.0000000000005</v>
      </c>
      <c r="E31" s="5" t="s">
        <v>87</v>
      </c>
      <c r="F31" s="5"/>
      <c r="G31" s="5"/>
      <c r="H31" s="11"/>
      <c r="J31" s="10" t="s">
        <v>115</v>
      </c>
      <c r="K31" s="5"/>
      <c r="L31" s="5"/>
      <c r="M31" s="54">
        <f>+C15</f>
        <v>3520.0000000000005</v>
      </c>
      <c r="N31" s="5" t="s">
        <v>87</v>
      </c>
      <c r="O31" s="5"/>
      <c r="P31" s="11"/>
      <c r="Q31" s="5"/>
    </row>
    <row r="32" spans="1:17" x14ac:dyDescent="0.25">
      <c r="A32" s="10" t="s">
        <v>88</v>
      </c>
      <c r="B32" s="5"/>
      <c r="C32" s="5"/>
      <c r="D32" s="54">
        <f>(HLOOKUP(ROUNDUP($C$11/30,0),sprocketscost,3))*-1</f>
        <v>-356</v>
      </c>
      <c r="E32" s="5" t="s">
        <v>86</v>
      </c>
      <c r="F32" s="5"/>
      <c r="G32" s="5"/>
      <c r="H32" s="11"/>
      <c r="J32" s="10" t="s">
        <v>88</v>
      </c>
      <c r="K32" s="5"/>
      <c r="L32" s="5"/>
      <c r="M32" s="54">
        <f>(HLOOKUP(ROUNDUP($C$11/30,0),sprocketscost,3))*-1</f>
        <v>-356</v>
      </c>
      <c r="N32" s="5" t="s">
        <v>86</v>
      </c>
      <c r="O32" s="5"/>
      <c r="P32" s="11"/>
      <c r="Q32" s="5"/>
    </row>
    <row r="33" spans="1:17" ht="15.75" thickBot="1" x14ac:dyDescent="0.3">
      <c r="A33" s="12" t="s">
        <v>124</v>
      </c>
      <c r="B33" s="13"/>
      <c r="C33" s="13"/>
      <c r="D33" s="117">
        <f>SUM(D30:D32)</f>
        <v>3236.2500000000005</v>
      </c>
      <c r="E33" s="13"/>
      <c r="F33" s="13"/>
      <c r="G33" s="13"/>
      <c r="H33" s="14"/>
      <c r="J33" s="12" t="s">
        <v>124</v>
      </c>
      <c r="K33" s="13"/>
      <c r="L33" s="13"/>
      <c r="M33" s="117">
        <f>SUM(M30:M32)</f>
        <v>4864</v>
      </c>
      <c r="N33" s="13"/>
      <c r="O33" s="13"/>
      <c r="P33" s="14"/>
      <c r="Q33" s="5"/>
    </row>
    <row r="35" spans="1:17" x14ac:dyDescent="0.25">
      <c r="D35" s="109"/>
    </row>
    <row r="36" spans="1:17" x14ac:dyDescent="0.25">
      <c r="A36" s="85" t="s">
        <v>88</v>
      </c>
      <c r="C36" s="107" t="s">
        <v>108</v>
      </c>
    </row>
    <row r="37" spans="1:17" x14ac:dyDescent="0.25">
      <c r="A37" s="85" t="s">
        <v>116</v>
      </c>
      <c r="C37" t="s">
        <v>117</v>
      </c>
    </row>
    <row r="40" spans="1:17" ht="15.75" thickBot="1" x14ac:dyDescent="0.3"/>
    <row r="41" spans="1:17" x14ac:dyDescent="0.25">
      <c r="A41" s="37" t="s">
        <v>89</v>
      </c>
      <c r="B41" s="39"/>
      <c r="C41" s="39"/>
      <c r="D41" s="39"/>
      <c r="E41" s="39"/>
      <c r="F41" s="39"/>
      <c r="G41" s="154"/>
      <c r="H41" s="103"/>
      <c r="J41" s="37" t="s">
        <v>95</v>
      </c>
      <c r="K41" s="39"/>
      <c r="L41" s="39"/>
      <c r="M41" s="39"/>
      <c r="N41" s="39"/>
      <c r="O41" s="154"/>
      <c r="P41" s="103"/>
    </row>
    <row r="42" spans="1:17" x14ac:dyDescent="0.25">
      <c r="A42" s="10"/>
      <c r="B42" s="5"/>
      <c r="C42" s="5"/>
      <c r="D42" s="5"/>
      <c r="F42" s="5"/>
      <c r="G42" s="5"/>
      <c r="H42" s="11"/>
      <c r="J42" s="10"/>
      <c r="K42" s="5"/>
      <c r="L42" s="5"/>
      <c r="M42" s="5"/>
      <c r="N42" s="5"/>
      <c r="O42" s="5"/>
      <c r="P42" s="11"/>
    </row>
    <row r="43" spans="1:17" x14ac:dyDescent="0.25">
      <c r="A43" s="95" t="s">
        <v>29</v>
      </c>
      <c r="B43" s="5"/>
      <c r="C43" s="3" t="s">
        <v>90</v>
      </c>
      <c r="D43" s="3" t="s">
        <v>92</v>
      </c>
      <c r="E43" s="3" t="s">
        <v>120</v>
      </c>
      <c r="F43" s="3" t="s">
        <v>81</v>
      </c>
      <c r="G43" s="3" t="s">
        <v>94</v>
      </c>
      <c r="H43" s="27" t="s">
        <v>94</v>
      </c>
      <c r="J43" s="95" t="s">
        <v>29</v>
      </c>
      <c r="K43" s="5"/>
      <c r="L43" s="3" t="s">
        <v>90</v>
      </c>
      <c r="M43" s="3" t="s">
        <v>92</v>
      </c>
      <c r="N43" s="3" t="s">
        <v>81</v>
      </c>
      <c r="O43" s="3" t="s">
        <v>94</v>
      </c>
      <c r="P43" s="27" t="s">
        <v>94</v>
      </c>
    </row>
    <row r="44" spans="1:17" x14ac:dyDescent="0.25">
      <c r="A44" s="95" t="s">
        <v>30</v>
      </c>
      <c r="B44" s="5"/>
      <c r="C44" s="3" t="s">
        <v>62</v>
      </c>
      <c r="D44" s="3" t="s">
        <v>91</v>
      </c>
      <c r="E44" s="3" t="s">
        <v>136</v>
      </c>
      <c r="F44" s="3" t="s">
        <v>93</v>
      </c>
      <c r="G44" s="3" t="s">
        <v>130</v>
      </c>
      <c r="H44" s="27" t="s">
        <v>62</v>
      </c>
      <c r="J44" s="95" t="s">
        <v>30</v>
      </c>
      <c r="K44" s="5"/>
      <c r="L44" s="3" t="s">
        <v>62</v>
      </c>
      <c r="M44" s="3" t="s">
        <v>91</v>
      </c>
      <c r="N44" s="3" t="s">
        <v>93</v>
      </c>
      <c r="O44" s="3" t="s">
        <v>130</v>
      </c>
      <c r="P44" s="27" t="s">
        <v>62</v>
      </c>
    </row>
    <row r="45" spans="1:17" x14ac:dyDescent="0.25">
      <c r="A45" s="119"/>
      <c r="B45" s="5"/>
      <c r="C45" s="3"/>
      <c r="D45" s="3"/>
      <c r="E45" s="3"/>
      <c r="F45" s="3"/>
      <c r="G45" s="3"/>
      <c r="H45" s="156" t="s">
        <v>134</v>
      </c>
      <c r="J45" s="119"/>
      <c r="K45" s="5"/>
      <c r="L45" s="3"/>
      <c r="M45" s="3"/>
      <c r="N45" s="3"/>
      <c r="O45" s="3"/>
      <c r="P45" s="156" t="s">
        <v>134</v>
      </c>
    </row>
    <row r="46" spans="1:17" x14ac:dyDescent="0.25">
      <c r="A46" s="95">
        <v>1</v>
      </c>
      <c r="B46" s="5"/>
      <c r="C46" s="152">
        <f>+$D$30</f>
        <v>72.25</v>
      </c>
      <c r="D46" s="152">
        <f>+((ROUNDUP((C11/30),0))*sprocketsavgred)*$C$9</f>
        <v>704</v>
      </c>
      <c r="E46" s="149">
        <f t="shared" ref="E46:E52" si="3">(((ROUNDUP(($C$11/30),0))*sprocketsavgred*A46))</f>
        <v>0.88</v>
      </c>
      <c r="F46" s="152">
        <f>+$D$32</f>
        <v>-356</v>
      </c>
      <c r="G46" s="153">
        <f t="shared" ref="G46:G52" si="4">+C46+D46+F46</f>
        <v>420.25</v>
      </c>
      <c r="H46" s="98">
        <f t="shared" ref="H46:H52" si="5">+(G46/$C$11)*365</f>
        <v>1533.9124999999999</v>
      </c>
      <c r="J46" s="95">
        <v>1</v>
      </c>
      <c r="K46" s="5"/>
      <c r="L46" s="152">
        <f>+$M$30</f>
        <v>1700</v>
      </c>
      <c r="M46" s="152">
        <f>+$D$31</f>
        <v>3520.0000000000005</v>
      </c>
      <c r="N46" s="152">
        <f>+$D$32</f>
        <v>-356</v>
      </c>
      <c r="O46" s="153">
        <f>SUM(L46:N46)</f>
        <v>4864</v>
      </c>
      <c r="P46" s="98">
        <f>+(O46/$C$11)*365</f>
        <v>17753.599999999999</v>
      </c>
    </row>
    <row r="47" spans="1:17" x14ac:dyDescent="0.25">
      <c r="A47" s="95">
        <v>2</v>
      </c>
      <c r="C47" s="99">
        <f t="shared" ref="C47:C52" si="6">+$C$46*$A47</f>
        <v>144.5</v>
      </c>
      <c r="D47" s="99">
        <f t="shared" ref="D47:D52" si="7">+$D$46*$A47</f>
        <v>1408</v>
      </c>
      <c r="E47" s="149">
        <f t="shared" si="3"/>
        <v>1.76</v>
      </c>
      <c r="F47" s="99">
        <f t="shared" ref="F47:F52" si="8">+$F$46</f>
        <v>-356</v>
      </c>
      <c r="G47" s="153">
        <f t="shared" si="4"/>
        <v>1196.5</v>
      </c>
      <c r="H47" s="98">
        <f t="shared" si="5"/>
        <v>4367.2250000000004</v>
      </c>
      <c r="J47" s="95">
        <v>2</v>
      </c>
      <c r="L47" s="99">
        <f>+$L$46*$J47</f>
        <v>3400</v>
      </c>
      <c r="M47" s="99">
        <f>+$M$46*$J47</f>
        <v>7040.0000000000009</v>
      </c>
      <c r="N47" s="99">
        <f>+$N$46</f>
        <v>-356</v>
      </c>
      <c r="O47" s="153">
        <f t="shared" ref="O47:O50" si="9">SUM(L47:N47)</f>
        <v>10084</v>
      </c>
      <c r="P47" s="98">
        <f t="shared" ref="P47:P50" si="10">+(O47/$C$11)*365</f>
        <v>36806.6</v>
      </c>
    </row>
    <row r="48" spans="1:17" x14ac:dyDescent="0.25">
      <c r="A48" s="95">
        <f>+A47+1</f>
        <v>3</v>
      </c>
      <c r="C48" s="99">
        <f t="shared" si="6"/>
        <v>216.75</v>
      </c>
      <c r="D48" s="99">
        <f t="shared" si="7"/>
        <v>2112</v>
      </c>
      <c r="E48" s="149">
        <f t="shared" si="3"/>
        <v>2.64</v>
      </c>
      <c r="F48" s="99">
        <f t="shared" si="8"/>
        <v>-356</v>
      </c>
      <c r="G48" s="153">
        <f t="shared" si="4"/>
        <v>1972.75</v>
      </c>
      <c r="H48" s="98">
        <f t="shared" si="5"/>
        <v>7200.5374999999995</v>
      </c>
      <c r="J48" s="95">
        <f>+J47+1</f>
        <v>3</v>
      </c>
      <c r="L48" s="99">
        <f>+$L$46*$J48</f>
        <v>5100</v>
      </c>
      <c r="M48" s="99">
        <f>+$M$46*$J48</f>
        <v>10560.000000000002</v>
      </c>
      <c r="N48" s="99">
        <f>+$N$46</f>
        <v>-356</v>
      </c>
      <c r="O48" s="153">
        <f t="shared" si="9"/>
        <v>15304.000000000002</v>
      </c>
      <c r="P48" s="98">
        <f t="shared" si="10"/>
        <v>55859.600000000006</v>
      </c>
    </row>
    <row r="49" spans="1:16" x14ac:dyDescent="0.25">
      <c r="A49" s="95">
        <f>+A48+1</f>
        <v>4</v>
      </c>
      <c r="C49" s="99">
        <f t="shared" si="6"/>
        <v>289</v>
      </c>
      <c r="D49" s="99">
        <f t="shared" si="7"/>
        <v>2816</v>
      </c>
      <c r="E49" s="149">
        <f t="shared" si="3"/>
        <v>3.52</v>
      </c>
      <c r="F49" s="99">
        <f t="shared" si="8"/>
        <v>-356</v>
      </c>
      <c r="G49" s="153">
        <f t="shared" si="4"/>
        <v>2749</v>
      </c>
      <c r="H49" s="98">
        <f t="shared" si="5"/>
        <v>10033.849999999999</v>
      </c>
      <c r="J49" s="95">
        <f>+J48+1</f>
        <v>4</v>
      </c>
      <c r="L49" s="99">
        <f>+$L$46*$J49</f>
        <v>6800</v>
      </c>
      <c r="M49" s="99">
        <f>+$M$46*$J49</f>
        <v>14080.000000000002</v>
      </c>
      <c r="N49" s="99">
        <f>+$N$46</f>
        <v>-356</v>
      </c>
      <c r="O49" s="153">
        <f t="shared" si="9"/>
        <v>20524</v>
      </c>
      <c r="P49" s="98">
        <f t="shared" si="10"/>
        <v>74912.600000000006</v>
      </c>
    </row>
    <row r="50" spans="1:16" ht="15.75" thickBot="1" x14ac:dyDescent="0.3">
      <c r="A50" s="95">
        <f>+A49+1</f>
        <v>5</v>
      </c>
      <c r="C50" s="99">
        <f t="shared" si="6"/>
        <v>361.25</v>
      </c>
      <c r="D50" s="99">
        <f t="shared" si="7"/>
        <v>3520</v>
      </c>
      <c r="E50" s="149">
        <f t="shared" si="3"/>
        <v>4.4000000000000004</v>
      </c>
      <c r="F50" s="99">
        <f t="shared" si="8"/>
        <v>-356</v>
      </c>
      <c r="G50" s="153">
        <f t="shared" si="4"/>
        <v>3525.25</v>
      </c>
      <c r="H50" s="98">
        <f t="shared" si="5"/>
        <v>12867.162499999999</v>
      </c>
      <c r="J50" s="97">
        <f>+J49+1</f>
        <v>5</v>
      </c>
      <c r="K50" s="34"/>
      <c r="L50" s="100">
        <f>+$L$46*$J50</f>
        <v>8500</v>
      </c>
      <c r="M50" s="100">
        <f>+$M$46*$J50</f>
        <v>17600.000000000004</v>
      </c>
      <c r="N50" s="100">
        <f>+$N$46</f>
        <v>-356</v>
      </c>
      <c r="O50" s="155">
        <f t="shared" si="9"/>
        <v>25744.000000000004</v>
      </c>
      <c r="P50" s="101">
        <f t="shared" si="10"/>
        <v>93965.60000000002</v>
      </c>
    </row>
    <row r="51" spans="1:16" x14ac:dyDescent="0.25">
      <c r="A51" s="95">
        <f>+A50+5</f>
        <v>10</v>
      </c>
      <c r="C51" s="99">
        <f t="shared" si="6"/>
        <v>722.5</v>
      </c>
      <c r="D51" s="99">
        <f t="shared" si="7"/>
        <v>7040</v>
      </c>
      <c r="E51" s="149">
        <f t="shared" si="3"/>
        <v>8.8000000000000007</v>
      </c>
      <c r="F51" s="99">
        <f t="shared" si="8"/>
        <v>-356</v>
      </c>
      <c r="G51" s="153">
        <f t="shared" si="4"/>
        <v>7406.5</v>
      </c>
      <c r="H51" s="98">
        <f t="shared" si="5"/>
        <v>27033.724999999999</v>
      </c>
    </row>
    <row r="52" spans="1:16" ht="15.75" thickBot="1" x14ac:dyDescent="0.3">
      <c r="A52" s="97">
        <v>15</v>
      </c>
      <c r="B52" s="34"/>
      <c r="C52" s="100">
        <f t="shared" si="6"/>
        <v>1083.75</v>
      </c>
      <c r="D52" s="100">
        <f t="shared" si="7"/>
        <v>10560</v>
      </c>
      <c r="E52" s="150">
        <f t="shared" si="3"/>
        <v>13.2</v>
      </c>
      <c r="F52" s="100">
        <f t="shared" si="8"/>
        <v>-356</v>
      </c>
      <c r="G52" s="155">
        <f t="shared" si="4"/>
        <v>11287.75</v>
      </c>
      <c r="H52" s="101">
        <f t="shared" si="5"/>
        <v>41200.287499999999</v>
      </c>
    </row>
    <row r="55" spans="1:16" x14ac:dyDescent="0.25">
      <c r="A55" s="5" t="s">
        <v>121</v>
      </c>
      <c r="C55" t="s">
        <v>133</v>
      </c>
      <c r="D55" s="118">
        <f>$C$11</f>
        <v>100</v>
      </c>
      <c r="E55" t="s">
        <v>19</v>
      </c>
    </row>
    <row r="56" spans="1:16" x14ac:dyDescent="0.25">
      <c r="A56" s="5" t="s">
        <v>131</v>
      </c>
      <c r="C56" t="s">
        <v>132</v>
      </c>
      <c r="D56" s="151">
        <f>+D55</f>
        <v>100</v>
      </c>
      <c r="E56" t="s">
        <v>19</v>
      </c>
    </row>
  </sheetData>
  <sheetProtection sheet="1" objects="1" scenarios="1"/>
  <mergeCells count="1">
    <mergeCell ref="C22:N22"/>
  </mergeCells>
  <printOptions horizontalCentered="1" verticalCentered="1"/>
  <pageMargins left="0.7" right="0.7" top="0.75" bottom="0.75" header="0.3" footer="0.3"/>
  <pageSetup scale="65" orientation="landscape" horizontalDpi="4294967295" verticalDpi="4294967295" r:id="rId1"/>
  <headerFooter>
    <oddFooter>&amp;CCourtesy of:
Owner Only Benefits
www.owneronlybenefits.com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E71A1-81F2-452F-A5E9-B26666E3BC28}">
  <sheetPr>
    <pageSetUpPr fitToPage="1"/>
  </sheetPr>
  <dimension ref="A2:O36"/>
  <sheetViews>
    <sheetView workbookViewId="0">
      <selection activeCell="C6" sqref="C6"/>
    </sheetView>
  </sheetViews>
  <sheetFormatPr defaultRowHeight="15" x14ac:dyDescent="0.25"/>
  <cols>
    <col min="1" max="1" width="16.5703125" customWidth="1"/>
    <col min="2" max="2" width="1.7109375" customWidth="1"/>
    <col min="4" max="4" width="10.5703125" bestFit="1" customWidth="1"/>
  </cols>
  <sheetData>
    <row r="2" spans="1:14" ht="28.5" x14ac:dyDescent="0.45">
      <c r="A2" s="61" t="s">
        <v>14</v>
      </c>
    </row>
    <row r="3" spans="1:14" ht="28.5" x14ac:dyDescent="0.45">
      <c r="A3" s="61" t="s">
        <v>56</v>
      </c>
    </row>
    <row r="4" spans="1:14" x14ac:dyDescent="0.25">
      <c r="A4" s="60" t="s">
        <v>107</v>
      </c>
    </row>
    <row r="5" spans="1:14" ht="15.75" thickBot="1" x14ac:dyDescent="0.3"/>
    <row r="6" spans="1:14" ht="15.75" thickBot="1" x14ac:dyDescent="0.3">
      <c r="A6" s="5" t="s">
        <v>141</v>
      </c>
      <c r="B6" s="5"/>
      <c r="C6" s="64">
        <v>10</v>
      </c>
      <c r="D6" s="5" t="s">
        <v>55</v>
      </c>
      <c r="E6" s="5"/>
      <c r="F6" s="5"/>
    </row>
    <row r="7" spans="1:14" ht="15.75" thickBot="1" x14ac:dyDescent="0.3">
      <c r="A7" s="5" t="s">
        <v>15</v>
      </c>
      <c r="B7" s="5"/>
      <c r="C7" s="110">
        <f>+avgnewhireduration</f>
        <v>100</v>
      </c>
      <c r="D7" s="5" t="s">
        <v>20</v>
      </c>
      <c r="E7" s="5"/>
      <c r="F7" s="5"/>
    </row>
    <row r="8" spans="1:14" ht="15.75" thickBot="1" x14ac:dyDescent="0.3">
      <c r="A8" s="5" t="s">
        <v>8</v>
      </c>
      <c r="B8" s="5"/>
      <c r="C8" s="111">
        <f>+avgnewhireshifthours</f>
        <v>5</v>
      </c>
      <c r="D8" s="5" t="s">
        <v>9</v>
      </c>
      <c r="E8" s="5"/>
      <c r="F8" s="5"/>
    </row>
    <row r="9" spans="1:14" ht="15.75" thickBot="1" x14ac:dyDescent="0.3">
      <c r="A9" s="5" t="s">
        <v>27</v>
      </c>
      <c r="B9" s="5"/>
      <c r="C9" s="68">
        <f>++C7*C8</f>
        <v>500</v>
      </c>
      <c r="D9" s="5" t="s">
        <v>49</v>
      </c>
      <c r="E9" s="5"/>
      <c r="F9" s="5"/>
    </row>
    <row r="10" spans="1:14" ht="15.75" thickBot="1" x14ac:dyDescent="0.3">
      <c r="A10" s="5" t="s">
        <v>28</v>
      </c>
      <c r="B10" s="5"/>
      <c r="C10" s="64">
        <v>0</v>
      </c>
      <c r="D10" s="5" t="s">
        <v>58</v>
      </c>
      <c r="E10" s="5"/>
      <c r="F10" s="5"/>
    </row>
    <row r="11" spans="1:14" ht="15.75" thickBot="1" x14ac:dyDescent="0.3">
      <c r="A11" s="5" t="s">
        <v>75</v>
      </c>
      <c r="C11" s="112">
        <f>+newhiresubmittedforWOTC</f>
        <v>0.05</v>
      </c>
      <c r="D11" s="5" t="s">
        <v>77</v>
      </c>
      <c r="E11" s="5"/>
      <c r="F11" s="5"/>
    </row>
    <row r="12" spans="1:14" ht="15.75" thickBot="1" x14ac:dyDescent="0.3">
      <c r="A12" s="5" t="s">
        <v>78</v>
      </c>
      <c r="B12" s="5"/>
      <c r="C12" s="113">
        <f>+wotcapprovalrate</f>
        <v>0.85</v>
      </c>
      <c r="D12" s="5" t="s">
        <v>79</v>
      </c>
      <c r="E12" s="5"/>
      <c r="F12" s="5"/>
    </row>
    <row r="13" spans="1:14" ht="15.75" thickBot="1" x14ac:dyDescent="0.3">
      <c r="A13" s="5" t="s">
        <v>26</v>
      </c>
      <c r="B13" s="5"/>
      <c r="C13" s="114">
        <f>+avgwageperhr</f>
        <v>8.5</v>
      </c>
      <c r="D13" s="5" t="s">
        <v>0</v>
      </c>
      <c r="E13" s="5"/>
      <c r="F13" s="5"/>
    </row>
    <row r="14" spans="1:14" ht="15.75" thickBot="1" x14ac:dyDescent="0.3">
      <c r="A14" s="5" t="s">
        <v>46</v>
      </c>
      <c r="C14" s="65">
        <v>2</v>
      </c>
      <c r="D14" s="5" t="s">
        <v>69</v>
      </c>
    </row>
    <row r="15" spans="1:14" x14ac:dyDescent="0.25">
      <c r="A15" s="5"/>
      <c r="C15" s="16"/>
      <c r="D15" s="5"/>
    </row>
    <row r="16" spans="1:14" x14ac:dyDescent="0.25">
      <c r="C16" s="158" t="s">
        <v>31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  <row r="17" spans="1:15" ht="15.75" thickBot="1" x14ac:dyDescent="0.3">
      <c r="C17" s="2">
        <v>1</v>
      </c>
      <c r="D17" s="2">
        <f>+C17+1</f>
        <v>2</v>
      </c>
      <c r="E17" s="2">
        <f t="shared" ref="E17:N17" si="0">+D17+1</f>
        <v>3</v>
      </c>
      <c r="F17" s="2">
        <f t="shared" si="0"/>
        <v>4</v>
      </c>
      <c r="G17" s="2">
        <f t="shared" si="0"/>
        <v>5</v>
      </c>
      <c r="H17" s="2">
        <f t="shared" si="0"/>
        <v>6</v>
      </c>
      <c r="I17" s="2">
        <f t="shared" si="0"/>
        <v>7</v>
      </c>
      <c r="J17" s="2">
        <f t="shared" si="0"/>
        <v>8</v>
      </c>
      <c r="K17" s="2">
        <f t="shared" si="0"/>
        <v>9</v>
      </c>
      <c r="L17" s="2">
        <f t="shared" si="0"/>
        <v>10</v>
      </c>
      <c r="M17" s="2">
        <f t="shared" si="0"/>
        <v>11</v>
      </c>
      <c r="N17" s="2">
        <f t="shared" si="0"/>
        <v>12</v>
      </c>
    </row>
    <row r="18" spans="1:15" x14ac:dyDescent="0.25">
      <c r="A18" s="3" t="s">
        <v>16</v>
      </c>
      <c r="C18" s="86">
        <f t="shared" ref="C18:M18" si="1">IF($C$14&lt;D17,$C$10,0)</f>
        <v>0</v>
      </c>
      <c r="D18" s="87">
        <f t="shared" si="1"/>
        <v>0</v>
      </c>
      <c r="E18" s="87">
        <f t="shared" si="1"/>
        <v>0</v>
      </c>
      <c r="F18" s="87">
        <f t="shared" si="1"/>
        <v>0</v>
      </c>
      <c r="G18" s="87">
        <f t="shared" si="1"/>
        <v>0</v>
      </c>
      <c r="H18" s="87">
        <f t="shared" si="1"/>
        <v>0</v>
      </c>
      <c r="I18" s="87">
        <f t="shared" si="1"/>
        <v>0</v>
      </c>
      <c r="J18" s="87">
        <f t="shared" si="1"/>
        <v>0</v>
      </c>
      <c r="K18" s="87">
        <f t="shared" si="1"/>
        <v>0</v>
      </c>
      <c r="L18" s="87">
        <f t="shared" si="1"/>
        <v>0</v>
      </c>
      <c r="M18" s="87">
        <f t="shared" si="1"/>
        <v>0</v>
      </c>
      <c r="N18" s="88">
        <f>IF($C$14&lt;(M17+1),$C$10,0)</f>
        <v>0</v>
      </c>
      <c r="O18" s="15"/>
    </row>
    <row r="19" spans="1:15" x14ac:dyDescent="0.25">
      <c r="A19" s="3" t="s">
        <v>17</v>
      </c>
      <c r="C19" s="89">
        <f t="shared" ref="C19:M19" si="2">IF($C$14&lt;D17,$C$6-$C$10,0)</f>
        <v>0</v>
      </c>
      <c r="D19" s="90">
        <f t="shared" si="2"/>
        <v>10</v>
      </c>
      <c r="E19" s="90">
        <f t="shared" si="2"/>
        <v>10</v>
      </c>
      <c r="F19" s="90">
        <f t="shared" si="2"/>
        <v>10</v>
      </c>
      <c r="G19" s="90">
        <f t="shared" si="2"/>
        <v>10</v>
      </c>
      <c r="H19" s="90">
        <f t="shared" si="2"/>
        <v>10</v>
      </c>
      <c r="I19" s="90">
        <f t="shared" si="2"/>
        <v>10</v>
      </c>
      <c r="J19" s="90">
        <f t="shared" si="2"/>
        <v>10</v>
      </c>
      <c r="K19" s="90">
        <f t="shared" si="2"/>
        <v>10</v>
      </c>
      <c r="L19" s="90">
        <f t="shared" si="2"/>
        <v>10</v>
      </c>
      <c r="M19" s="90">
        <f t="shared" si="2"/>
        <v>10</v>
      </c>
      <c r="N19" s="91">
        <f>IF($C$14&lt;N17+1,$C$6-$C$10,0)</f>
        <v>10</v>
      </c>
      <c r="O19" s="15"/>
    </row>
    <row r="20" spans="1:15" ht="15.75" thickBot="1" x14ac:dyDescent="0.3">
      <c r="A20" s="3" t="s">
        <v>57</v>
      </c>
      <c r="C20" s="92">
        <f>+C19</f>
        <v>0</v>
      </c>
      <c r="D20" s="93">
        <f t="shared" ref="D20:N20" si="3">+C20+D19</f>
        <v>10</v>
      </c>
      <c r="E20" s="93">
        <f t="shared" si="3"/>
        <v>20</v>
      </c>
      <c r="F20" s="93">
        <f t="shared" si="3"/>
        <v>30</v>
      </c>
      <c r="G20" s="93">
        <f t="shared" si="3"/>
        <v>40</v>
      </c>
      <c r="H20" s="93">
        <f t="shared" si="3"/>
        <v>50</v>
      </c>
      <c r="I20" s="93">
        <f t="shared" si="3"/>
        <v>60</v>
      </c>
      <c r="J20" s="93">
        <f t="shared" si="3"/>
        <v>70</v>
      </c>
      <c r="K20" s="93">
        <f t="shared" si="3"/>
        <v>80</v>
      </c>
      <c r="L20" s="93">
        <f t="shared" si="3"/>
        <v>90</v>
      </c>
      <c r="M20" s="93">
        <f t="shared" si="3"/>
        <v>100</v>
      </c>
      <c r="N20" s="94">
        <f t="shared" si="3"/>
        <v>110</v>
      </c>
    </row>
    <row r="21" spans="1:15" ht="15.75" thickTop="1" x14ac:dyDescent="0.25"/>
    <row r="22" spans="1:15" ht="15.75" thickBot="1" x14ac:dyDescent="0.3"/>
    <row r="23" spans="1:15" ht="15.75" thickBot="1" x14ac:dyDescent="0.3">
      <c r="A23" s="17" t="s">
        <v>52</v>
      </c>
      <c r="B23" s="40"/>
      <c r="C23" s="40"/>
      <c r="D23" s="41"/>
      <c r="E23" s="8"/>
      <c r="F23" s="8"/>
      <c r="G23" s="8"/>
      <c r="H23" s="9"/>
    </row>
    <row r="24" spans="1:15" x14ac:dyDescent="0.25">
      <c r="H24" s="11"/>
    </row>
    <row r="25" spans="1:15" x14ac:dyDescent="0.25">
      <c r="A25" s="10" t="s">
        <v>48</v>
      </c>
      <c r="B25" s="5"/>
      <c r="C25" s="5"/>
      <c r="D25" s="36">
        <f>+IF($C$9&lt;120,0,(IF($C$9&lt;400,(avghrwage*$C$9*wagecredit120hr*$C$11*Wotcapprovalavg),(avghrwage*$C$9*wagecredit400hr*$C$11*Wotcapprovalavg))))</f>
        <v>72.25</v>
      </c>
      <c r="E25" s="5" t="s">
        <v>50</v>
      </c>
      <c r="F25" s="5"/>
      <c r="G25" s="5"/>
      <c r="H25" s="11"/>
    </row>
    <row r="26" spans="1:15" x14ac:dyDescent="0.25">
      <c r="A26" s="10" t="s">
        <v>47</v>
      </c>
      <c r="B26" s="5"/>
      <c r="C26" s="5"/>
      <c r="D26" s="30">
        <f>(HLOOKUP(ROUNDUP($C$7/30,0),telemedexp,4))*-1</f>
        <v>-30</v>
      </c>
      <c r="E26" s="5" t="s">
        <v>33</v>
      </c>
      <c r="F26" s="5"/>
      <c r="G26" s="5"/>
      <c r="H26" s="11"/>
    </row>
    <row r="27" spans="1:15" ht="15.75" thickBot="1" x14ac:dyDescent="0.3">
      <c r="A27" s="12" t="s">
        <v>18</v>
      </c>
      <c r="B27" s="13"/>
      <c r="C27" s="13"/>
      <c r="D27" s="38">
        <f>+D25+D26</f>
        <v>42.25</v>
      </c>
      <c r="E27" s="13"/>
      <c r="F27" s="13"/>
      <c r="G27" s="13"/>
      <c r="H27" s="14"/>
    </row>
    <row r="29" spans="1:15" ht="15.75" thickBot="1" x14ac:dyDescent="0.3"/>
    <row r="30" spans="1:15" ht="15.75" thickBot="1" x14ac:dyDescent="0.3">
      <c r="A30" s="82" t="s">
        <v>76</v>
      </c>
      <c r="B30" s="83"/>
      <c r="C30" s="83"/>
      <c r="D30" s="83"/>
      <c r="E30" s="84"/>
      <c r="F30" s="84"/>
      <c r="G30" s="8"/>
      <c r="H30" s="9"/>
    </row>
    <row r="31" spans="1:15" x14ac:dyDescent="0.25">
      <c r="H31" s="11"/>
    </row>
    <row r="32" spans="1:15" x14ac:dyDescent="0.25">
      <c r="A32" s="10" t="s">
        <v>48</v>
      </c>
      <c r="B32" s="5"/>
      <c r="C32" s="5"/>
      <c r="D32" s="36">
        <f>+avgWOTCparticipantbenefit</f>
        <v>1700</v>
      </c>
      <c r="E32" s="5" t="s">
        <v>51</v>
      </c>
      <c r="F32" s="5"/>
      <c r="G32" s="5"/>
      <c r="H32" s="11"/>
    </row>
    <row r="33" spans="1:8" x14ac:dyDescent="0.25">
      <c r="A33" s="10" t="s">
        <v>47</v>
      </c>
      <c r="B33" s="5"/>
      <c r="C33" s="5"/>
      <c r="D33" s="30">
        <f>(HLOOKUP(ROUNDUP($C$7/30,0),telemedexp,4))*-1</f>
        <v>-30</v>
      </c>
      <c r="E33" s="5" t="s">
        <v>33</v>
      </c>
      <c r="F33" s="5"/>
      <c r="G33" s="5"/>
      <c r="H33" s="11"/>
    </row>
    <row r="34" spans="1:8" ht="15.75" thickBot="1" x14ac:dyDescent="0.3">
      <c r="A34" s="12" t="s">
        <v>18</v>
      </c>
      <c r="B34" s="13"/>
      <c r="C34" s="13"/>
      <c r="D34" s="38">
        <f>+D32+D33</f>
        <v>1670</v>
      </c>
      <c r="E34" s="13"/>
      <c r="F34" s="13"/>
      <c r="G34" s="13"/>
      <c r="H34" s="14"/>
    </row>
    <row r="36" spans="1:8" x14ac:dyDescent="0.25">
      <c r="A36" s="5"/>
      <c r="D36" s="108"/>
    </row>
  </sheetData>
  <sheetProtection sheet="1" objects="1" scenarios="1"/>
  <mergeCells count="1">
    <mergeCell ref="C16:N16"/>
  </mergeCells>
  <printOptions horizontalCentered="1" verticalCentered="1"/>
  <pageMargins left="0.7" right="0.7" top="0.75" bottom="0.75" header="0.3" footer="0.3"/>
  <pageSetup scale="94" orientation="landscape" r:id="rId1"/>
  <headerFooter>
    <oddFooter>&amp;CCourtesy of:  Owner Only Benefits
www.owneronlybenefits.com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BDC5-94A6-4C85-8ABA-A6C7E629D084}">
  <sheetPr>
    <pageSetUpPr fitToPage="1"/>
  </sheetPr>
  <dimension ref="A2:O38"/>
  <sheetViews>
    <sheetView workbookViewId="0">
      <selection activeCell="C7" sqref="C7"/>
    </sheetView>
  </sheetViews>
  <sheetFormatPr defaultRowHeight="15" x14ac:dyDescent="0.25"/>
  <cols>
    <col min="1" max="1" width="19.85546875" customWidth="1"/>
    <col min="2" max="2" width="1.7109375" customWidth="1"/>
    <col min="4" max="4" width="10.5703125" bestFit="1" customWidth="1"/>
    <col min="8" max="8" width="11" customWidth="1"/>
    <col min="13" max="14" width="10.5703125" bestFit="1" customWidth="1"/>
  </cols>
  <sheetData>
    <row r="2" spans="1:6" ht="28.5" x14ac:dyDescent="0.45">
      <c r="A2" s="61" t="s">
        <v>128</v>
      </c>
    </row>
    <row r="3" spans="1:6" ht="28.5" x14ac:dyDescent="0.45">
      <c r="A3" s="61" t="s">
        <v>56</v>
      </c>
    </row>
    <row r="4" spans="1:6" x14ac:dyDescent="0.25">
      <c r="A4" s="60" t="s">
        <v>107</v>
      </c>
    </row>
    <row r="6" spans="1:6" ht="15.75" thickBot="1" x14ac:dyDescent="0.3"/>
    <row r="7" spans="1:6" ht="15.75" thickBot="1" x14ac:dyDescent="0.3">
      <c r="A7" s="5" t="s">
        <v>129</v>
      </c>
      <c r="B7" s="5"/>
      <c r="C7" s="64">
        <v>125</v>
      </c>
      <c r="D7" s="5" t="s">
        <v>55</v>
      </c>
      <c r="E7" s="5"/>
      <c r="F7" s="85"/>
    </row>
    <row r="8" spans="1:6" ht="15.75" thickBot="1" x14ac:dyDescent="0.3">
      <c r="A8" s="5" t="s">
        <v>15</v>
      </c>
      <c r="B8" s="5"/>
      <c r="C8" s="110">
        <f>+avgnewhireduration</f>
        <v>100</v>
      </c>
      <c r="D8" s="5" t="s">
        <v>20</v>
      </c>
      <c r="E8" s="5"/>
      <c r="F8" s="5"/>
    </row>
    <row r="9" spans="1:6" ht="15.75" thickBot="1" x14ac:dyDescent="0.3">
      <c r="A9" s="5" t="s">
        <v>8</v>
      </c>
      <c r="B9" s="5"/>
      <c r="C9" s="111">
        <f>+avgnewhireshifthours</f>
        <v>5</v>
      </c>
      <c r="D9" s="5" t="s">
        <v>9</v>
      </c>
      <c r="E9" s="5"/>
      <c r="F9" s="5"/>
    </row>
    <row r="10" spans="1:6" ht="15.75" thickBot="1" x14ac:dyDescent="0.3">
      <c r="A10" s="5" t="s">
        <v>27</v>
      </c>
      <c r="B10" s="5"/>
      <c r="C10" s="110">
        <f>++C8*C9</f>
        <v>500</v>
      </c>
      <c r="D10" s="5" t="s">
        <v>49</v>
      </c>
      <c r="E10" s="5"/>
      <c r="F10" s="5"/>
    </row>
    <row r="11" spans="1:6" ht="15.75" thickBot="1" x14ac:dyDescent="0.3">
      <c r="A11" s="5" t="s">
        <v>28</v>
      </c>
      <c r="B11" s="5"/>
      <c r="C11" s="64">
        <v>0</v>
      </c>
      <c r="D11" s="5" t="s">
        <v>125</v>
      </c>
      <c r="E11" s="5"/>
      <c r="F11" s="5"/>
    </row>
    <row r="12" spans="1:6" ht="15.75" thickBot="1" x14ac:dyDescent="0.3">
      <c r="A12" s="5" t="s">
        <v>75</v>
      </c>
      <c r="C12" s="112">
        <f>+newhiresubmittedforWOTC</f>
        <v>0.05</v>
      </c>
      <c r="D12" s="5" t="s">
        <v>77</v>
      </c>
      <c r="E12" s="5"/>
      <c r="F12" s="5"/>
    </row>
    <row r="13" spans="1:6" ht="15.75" thickBot="1" x14ac:dyDescent="0.3">
      <c r="A13" s="5" t="s">
        <v>78</v>
      </c>
      <c r="B13" s="5"/>
      <c r="C13" s="113">
        <f>+wotcapprovalrate</f>
        <v>0.85</v>
      </c>
      <c r="D13" s="5" t="s">
        <v>79</v>
      </c>
      <c r="E13" s="5"/>
      <c r="F13" s="5"/>
    </row>
    <row r="14" spans="1:6" ht="15.75" thickBot="1" x14ac:dyDescent="0.3">
      <c r="A14" s="5" t="s">
        <v>26</v>
      </c>
      <c r="B14" s="5"/>
      <c r="C14" s="114">
        <v>8.5</v>
      </c>
      <c r="D14" s="5" t="s">
        <v>0</v>
      </c>
      <c r="E14" s="5"/>
      <c r="F14" s="5"/>
    </row>
    <row r="15" spans="1:6" ht="15.75" thickBot="1" x14ac:dyDescent="0.3">
      <c r="A15" s="5" t="s">
        <v>46</v>
      </c>
      <c r="C15" s="65">
        <v>4</v>
      </c>
      <c r="D15" s="5" t="s">
        <v>69</v>
      </c>
    </row>
    <row r="16" spans="1:6" x14ac:dyDescent="0.25">
      <c r="A16" s="5"/>
      <c r="C16" s="16"/>
      <c r="D16" s="5"/>
    </row>
    <row r="17" spans="1:15" x14ac:dyDescent="0.25">
      <c r="C17" s="158" t="s">
        <v>31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5" ht="15.75" thickBot="1" x14ac:dyDescent="0.3">
      <c r="C18" s="2">
        <v>1</v>
      </c>
      <c r="D18" s="2">
        <f>+C18+1</f>
        <v>2</v>
      </c>
      <c r="E18" s="2">
        <f t="shared" ref="E18:N18" si="0">+D18+1</f>
        <v>3</v>
      </c>
      <c r="F18" s="2">
        <f t="shared" si="0"/>
        <v>4</v>
      </c>
      <c r="G18" s="2">
        <f t="shared" si="0"/>
        <v>5</v>
      </c>
      <c r="H18" s="2">
        <f t="shared" si="0"/>
        <v>6</v>
      </c>
      <c r="I18" s="2">
        <f t="shared" si="0"/>
        <v>7</v>
      </c>
      <c r="J18" s="2">
        <f t="shared" si="0"/>
        <v>8</v>
      </c>
      <c r="K18" s="2">
        <f t="shared" si="0"/>
        <v>9</v>
      </c>
      <c r="L18" s="2">
        <f t="shared" si="0"/>
        <v>10</v>
      </c>
      <c r="M18" s="2">
        <f t="shared" si="0"/>
        <v>11</v>
      </c>
      <c r="N18" s="2">
        <f t="shared" si="0"/>
        <v>12</v>
      </c>
    </row>
    <row r="19" spans="1:15" x14ac:dyDescent="0.25">
      <c r="A19" s="3" t="s">
        <v>16</v>
      </c>
      <c r="C19" s="86">
        <f t="shared" ref="C19:M19" si="1">IF($C$15&lt;D18,$C$11,0)</f>
        <v>0</v>
      </c>
      <c r="D19" s="87">
        <f t="shared" si="1"/>
        <v>0</v>
      </c>
      <c r="E19" s="87">
        <f t="shared" si="1"/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0</v>
      </c>
      <c r="J19" s="87">
        <f t="shared" si="1"/>
        <v>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8">
        <f>IF($C$15&lt;(M18+1),$C$11,0)</f>
        <v>0</v>
      </c>
      <c r="O19" s="15"/>
    </row>
    <row r="20" spans="1:15" x14ac:dyDescent="0.25">
      <c r="A20" s="3" t="s">
        <v>17</v>
      </c>
      <c r="C20" s="89">
        <f t="shared" ref="C20:M20" si="2">IF($C$15&lt;D18,$C$7-$C$11,0)</f>
        <v>0</v>
      </c>
      <c r="D20" s="90">
        <f t="shared" si="2"/>
        <v>0</v>
      </c>
      <c r="E20" s="90">
        <f t="shared" si="2"/>
        <v>0</v>
      </c>
      <c r="F20" s="90">
        <f t="shared" si="2"/>
        <v>125</v>
      </c>
      <c r="G20" s="90">
        <f t="shared" si="2"/>
        <v>125</v>
      </c>
      <c r="H20" s="90">
        <f t="shared" si="2"/>
        <v>125</v>
      </c>
      <c r="I20" s="90">
        <f t="shared" si="2"/>
        <v>125</v>
      </c>
      <c r="J20" s="90">
        <f t="shared" si="2"/>
        <v>125</v>
      </c>
      <c r="K20" s="90">
        <f t="shared" si="2"/>
        <v>125</v>
      </c>
      <c r="L20" s="90">
        <f t="shared" si="2"/>
        <v>125</v>
      </c>
      <c r="M20" s="90">
        <f t="shared" si="2"/>
        <v>125</v>
      </c>
      <c r="N20" s="91">
        <f>IF($C$15&lt;N18+1,$C$7-$C$11,0)</f>
        <v>125</v>
      </c>
      <c r="O20" s="15"/>
    </row>
    <row r="21" spans="1:15" ht="15.75" thickBot="1" x14ac:dyDescent="0.3">
      <c r="A21" s="3" t="s">
        <v>57</v>
      </c>
      <c r="C21" s="92">
        <f>+C20</f>
        <v>0</v>
      </c>
      <c r="D21" s="93">
        <f t="shared" ref="D21:N21" si="3">+C21+D20</f>
        <v>0</v>
      </c>
      <c r="E21" s="93">
        <f t="shared" si="3"/>
        <v>0</v>
      </c>
      <c r="F21" s="93">
        <f t="shared" si="3"/>
        <v>125</v>
      </c>
      <c r="G21" s="93">
        <f t="shared" si="3"/>
        <v>250</v>
      </c>
      <c r="H21" s="93">
        <f t="shared" si="3"/>
        <v>375</v>
      </c>
      <c r="I21" s="93">
        <f t="shared" si="3"/>
        <v>500</v>
      </c>
      <c r="J21" s="93">
        <f t="shared" si="3"/>
        <v>625</v>
      </c>
      <c r="K21" s="93">
        <f t="shared" si="3"/>
        <v>750</v>
      </c>
      <c r="L21" s="93">
        <f t="shared" si="3"/>
        <v>875</v>
      </c>
      <c r="M21" s="93">
        <f t="shared" si="3"/>
        <v>1000</v>
      </c>
      <c r="N21" s="94">
        <f t="shared" si="3"/>
        <v>1125</v>
      </c>
    </row>
    <row r="22" spans="1:15" ht="15.75" thickTop="1" x14ac:dyDescent="0.25"/>
    <row r="23" spans="1:15" ht="15.75" thickBot="1" x14ac:dyDescent="0.3"/>
    <row r="24" spans="1:15" ht="15.75" thickBot="1" x14ac:dyDescent="0.3">
      <c r="A24" s="17" t="s">
        <v>52</v>
      </c>
      <c r="B24" s="40"/>
      <c r="C24" s="40"/>
      <c r="D24" s="41"/>
      <c r="E24" s="8"/>
      <c r="F24" s="8"/>
      <c r="G24" s="8"/>
      <c r="H24" s="9"/>
    </row>
    <row r="25" spans="1:15" x14ac:dyDescent="0.25">
      <c r="H25" s="11"/>
    </row>
    <row r="26" spans="1:15" x14ac:dyDescent="0.25">
      <c r="A26" s="10" t="s">
        <v>48</v>
      </c>
      <c r="B26" s="5"/>
      <c r="C26" s="5"/>
      <c r="D26" s="36">
        <f>+IF($C$10&lt;120,0,(IF($C$10&lt;400,(avghrwage*$C$10*wagecredit120hr*$C$12*Wotcapprovalavg),(avghrwage*$C$10*wagecredit400hr*$C$12*Wotcapprovalavg))))</f>
        <v>72.25</v>
      </c>
      <c r="E26" s="5" t="s">
        <v>50</v>
      </c>
      <c r="F26" s="5"/>
      <c r="G26" s="5"/>
      <c r="H26" s="11"/>
    </row>
    <row r="27" spans="1:15" x14ac:dyDescent="0.25">
      <c r="A27" s="5" t="s">
        <v>143</v>
      </c>
      <c r="B27" s="5"/>
      <c r="C27" s="5"/>
      <c r="D27" s="30">
        <f>(HLOOKUP(ROUNDUP($C$8/30,0),primarycareexpense1,4))*-1</f>
        <v>-125</v>
      </c>
      <c r="E27" s="5" t="s">
        <v>80</v>
      </c>
      <c r="F27" s="5"/>
      <c r="G27" s="5"/>
      <c r="H27" s="11"/>
    </row>
    <row r="28" spans="1:15" ht="15.75" thickBot="1" x14ac:dyDescent="0.3">
      <c r="A28" s="12" t="s">
        <v>18</v>
      </c>
      <c r="B28" s="13"/>
      <c r="C28" s="13"/>
      <c r="D28" s="38">
        <f>+D26+D27</f>
        <v>-52.75</v>
      </c>
      <c r="E28" s="13"/>
      <c r="F28" s="13"/>
      <c r="G28" s="13"/>
      <c r="H28" s="14"/>
    </row>
    <row r="30" spans="1:15" ht="16.5" customHeight="1" thickBot="1" x14ac:dyDescent="0.3"/>
    <row r="31" spans="1:15" ht="15.75" thickBot="1" x14ac:dyDescent="0.3">
      <c r="A31" s="82" t="s">
        <v>76</v>
      </c>
      <c r="B31" s="83"/>
      <c r="C31" s="83"/>
      <c r="D31" s="83"/>
      <c r="E31" s="84"/>
      <c r="F31" s="84"/>
      <c r="G31" s="8"/>
      <c r="H31" s="9"/>
    </row>
    <row r="32" spans="1:15" x14ac:dyDescent="0.25">
      <c r="H32" s="11"/>
    </row>
    <row r="33" spans="1:8" x14ac:dyDescent="0.25">
      <c r="A33" s="10" t="s">
        <v>48</v>
      </c>
      <c r="B33" s="5"/>
      <c r="C33" s="5"/>
      <c r="D33" s="36">
        <f>+avgWOTCparticipantbenefit</f>
        <v>1700</v>
      </c>
      <c r="E33" s="5" t="s">
        <v>51</v>
      </c>
      <c r="F33" s="5"/>
      <c r="G33" s="5"/>
      <c r="H33" s="11"/>
    </row>
    <row r="34" spans="1:8" x14ac:dyDescent="0.25">
      <c r="A34" s="5" t="s">
        <v>143</v>
      </c>
      <c r="B34" s="5"/>
      <c r="C34" s="5"/>
      <c r="D34" s="30">
        <f>(HLOOKUP(ROUNDUP($C$8/30,0),primarycareexpense1,4))*-1</f>
        <v>-125</v>
      </c>
      <c r="E34" s="5" t="s">
        <v>80</v>
      </c>
      <c r="F34" s="5"/>
      <c r="G34" s="5"/>
      <c r="H34" s="11"/>
    </row>
    <row r="35" spans="1:8" ht="15.75" thickBot="1" x14ac:dyDescent="0.3">
      <c r="A35" s="12" t="s">
        <v>18</v>
      </c>
      <c r="B35" s="13"/>
      <c r="C35" s="13"/>
      <c r="D35" s="38">
        <f>+D33+D34</f>
        <v>1575</v>
      </c>
      <c r="E35" s="13"/>
      <c r="F35" s="13"/>
      <c r="G35" s="13"/>
      <c r="H35" s="14"/>
    </row>
    <row r="38" spans="1:8" x14ac:dyDescent="0.25">
      <c r="A38" s="126" t="s">
        <v>126</v>
      </c>
      <c r="B38" s="107"/>
      <c r="C38" s="107" t="s">
        <v>127</v>
      </c>
      <c r="D38" s="127"/>
    </row>
  </sheetData>
  <sheetProtection sheet="1" objects="1" scenarios="1"/>
  <mergeCells count="1">
    <mergeCell ref="C17:N17"/>
  </mergeCells>
  <printOptions horizontalCentered="1"/>
  <pageMargins left="0.7" right="0.7" top="0.75" bottom="0.75" header="0.3" footer="0.3"/>
  <pageSetup scale="84" orientation="landscape" horizontalDpi="4294967295" verticalDpi="4294967295" r:id="rId1"/>
  <headerFooter>
    <oddFooter>&amp;CCourtesy of:  
Owner Only Benefits
www.owneronlybenefits.com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A8BB-7B6E-409F-988E-9427495BF78A}">
  <dimension ref="A2:D7"/>
  <sheetViews>
    <sheetView workbookViewId="0">
      <selection activeCell="E3" sqref="E3"/>
    </sheetView>
  </sheetViews>
  <sheetFormatPr defaultRowHeight="15" x14ac:dyDescent="0.25"/>
  <sheetData>
    <row r="2" spans="1:4" x14ac:dyDescent="0.25">
      <c r="A2" s="5" t="s">
        <v>104</v>
      </c>
    </row>
    <row r="5" spans="1:4" ht="15.75" thickBot="1" x14ac:dyDescent="0.3"/>
    <row r="6" spans="1:4" x14ac:dyDescent="0.25">
      <c r="A6" s="120" t="s">
        <v>103</v>
      </c>
      <c r="B6" s="121"/>
      <c r="C6" s="121"/>
      <c r="D6" s="122">
        <f>+IF(Avgnewhiretotalworkhours&lt;120,0,(IF(Avgnewhiretotalworkhours&lt;400,(avgwageperhr*Avgnewhiretotalworkhours*'WOTC Inputs'!C18),(avgwageperhr*Avgnewhiretotalworkhours*wagecredit400hr))))</f>
        <v>1700</v>
      </c>
    </row>
    <row r="7" spans="1:4" ht="15.75" thickBot="1" x14ac:dyDescent="0.3">
      <c r="A7" s="123" t="s">
        <v>105</v>
      </c>
      <c r="B7" s="34"/>
      <c r="C7" s="34"/>
      <c r="D7" s="124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22</vt:i4>
      </vt:variant>
    </vt:vector>
  </HeadingPairs>
  <TitlesOfParts>
    <vt:vector size="30" baseType="lpstr">
      <vt:lpstr>Instructions</vt:lpstr>
      <vt:lpstr>Legal</vt:lpstr>
      <vt:lpstr>WOTC Inputs</vt:lpstr>
      <vt:lpstr>WOTC Analysis</vt:lpstr>
      <vt:lpstr>Sprockets Analysis</vt:lpstr>
      <vt:lpstr>TeleMed Benefit</vt:lpstr>
      <vt:lpstr>EAP Limited Med Benefit</vt:lpstr>
      <vt:lpstr>Calc Page</vt:lpstr>
      <vt:lpstr>avghiresduringeetenure</vt:lpstr>
      <vt:lpstr>avghrwage</vt:lpstr>
      <vt:lpstr>avgnewhireduration</vt:lpstr>
      <vt:lpstr>avgnewhireshifthours</vt:lpstr>
      <vt:lpstr>Avgnewhiretotalworkhours</vt:lpstr>
      <vt:lpstr>avgwageperhr</vt:lpstr>
      <vt:lpstr>avgWOTCparticipantbenefit</vt:lpstr>
      <vt:lpstr>avgwotcpernewhire</vt:lpstr>
      <vt:lpstr>Expectedwotcpernewhire</vt:lpstr>
      <vt:lpstr>newhirespermonth</vt:lpstr>
      <vt:lpstr>newhiresubmittedforWOTC</vt:lpstr>
      <vt:lpstr>PrimaryCareExpense</vt:lpstr>
      <vt:lpstr>primarycareexpense1</vt:lpstr>
      <vt:lpstr>sprocketsavgred</vt:lpstr>
      <vt:lpstr>sprocketscost</vt:lpstr>
      <vt:lpstr>telemedexp</vt:lpstr>
      <vt:lpstr>wagecredit120hr</vt:lpstr>
      <vt:lpstr>wagecredit400hr</vt:lpstr>
      <vt:lpstr>Wotcapprovalavg</vt:lpstr>
      <vt:lpstr>wotcapprovalrate</vt:lpstr>
      <vt:lpstr>WOTCapprovalsubmit</vt:lpstr>
      <vt:lpstr>WOTCsubmit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OOB TSW</dc:creator>
  <cp:lastModifiedBy>Thomas White</cp:lastModifiedBy>
  <cp:lastPrinted>2024-10-01T12:08:30Z</cp:lastPrinted>
  <dcterms:created xsi:type="dcterms:W3CDTF">2019-11-26T14:45:47Z</dcterms:created>
  <dcterms:modified xsi:type="dcterms:W3CDTF">2024-10-01T16:00:41Z</dcterms:modified>
</cp:coreProperties>
</file>